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<sst xmlns="http://schemas.openxmlformats.org/spreadsheetml/2006/main" count="1068" uniqueCount="983">
  <si>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</si>
  <si>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</si>
  <si>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</si>
  <si>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</si>
  <si>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</si>
  <si>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</si>
  <si>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</si>
  <si>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</si>
  <si>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</si>
  <si>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</si>
  <si>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</si>
  <si>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</si>
  <si>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</si>
  <si>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</si>
  <si>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</si>
  <si>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</si>
  <si>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</si>
  <si>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</si>
  <si>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</si>
  <si>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</si>
  <si>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Придбання обладнання довгострокового користування</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</si>
  <si>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</si>
  <si>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</si>
  <si>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</si>
  <si>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</si>
  <si>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</si>
  <si>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</si>
  <si>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</si>
  <si>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</si>
  <si>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</si>
  <si>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</si>
  <si>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</si>
  <si>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</si>
  <si>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</si>
  <si>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</si>
  <si>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</si>
  <si>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</si>
  <si>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</si>
  <si>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</si>
  <si>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</si>
  <si>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</si>
  <si>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</si>
  <si>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</si>
  <si>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</si>
  <si>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</si>
  <si>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</si>
  <si>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</si>
  <si>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</si>
  <si>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</si>
  <si>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</si>
  <si>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</si>
  <si>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</si>
  <si>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</si>
  <si>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</si>
  <si>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 xml:space="preserve"> - ліжка функціональні</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</si>
  <si>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</si>
  <si>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</si>
  <si>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</si>
  <si>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</si>
  <si>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</si>
  <si>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</si>
  <si>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</si>
  <si>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</si>
  <si>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</si>
  <si>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</si>
  <si>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</si>
  <si>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</si>
  <si>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</si>
  <si>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</si>
  <si>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</si>
  <si>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</si>
  <si>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</si>
  <si>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</si>
  <si>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</si>
  <si>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</si>
  <si>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</si>
  <si>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</si>
  <si>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</si>
  <si>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</si>
  <si>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</si>
  <si>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</si>
  <si>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</si>
  <si>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</si>
  <si>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</si>
  <si>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</si>
  <si>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</si>
  <si>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</si>
  <si>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</si>
  <si>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</si>
  <si>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</si>
  <si>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</si>
  <si>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</si>
  <si>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</si>
  <si>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</si>
  <si>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</si>
  <si>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</si>
  <si>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</si>
  <si>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</si>
  <si>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</si>
  <si>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</si>
  <si>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</si>
  <si>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</si>
  <si>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</si>
  <si>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</si>
  <si>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</si>
  <si>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</si>
  <si>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</si>
  <si>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</si>
  <si>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</si>
  <si>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</si>
  <si>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</si>
  <si>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</si>
  <si>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</si>
  <si>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</si>
  <si>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</si>
  <si>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</si>
  <si>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</si>
  <si>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</si>
  <si>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</si>
  <si>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</si>
  <si>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3132-40,11
3210-943559,89</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</si>
  <si>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</si>
  <si>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</si>
  <si>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</si>
  <si>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</si>
  <si>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</si>
  <si>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</si>
  <si>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</si>
  <si>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</si>
  <si>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</si>
  <si>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</si>
  <si>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</si>
  <si>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</si>
  <si>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</si>
  <si>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</si>
  <si>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</si>
  <si>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</si>
  <si>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</si>
  <si>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</si>
  <si>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</si>
  <si>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</si>
  <si>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</si>
  <si>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</si>
  <si>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</si>
  <si>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</si>
  <si>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</si>
  <si>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</si>
  <si>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</si>
  <si>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</si>
  <si>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</si>
  <si>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</si>
  <si>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</si>
  <si>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</si>
  <si>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</si>
  <si>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</si>
  <si>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</si>
  <si>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</si>
  <si>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</si>
  <si>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</si>
  <si>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</si>
  <si>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</si>
  <si>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</si>
  <si>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</si>
  <si>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</si>
  <si>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</si>
  <si>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</si>
  <si>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</si>
  <si>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</si>
  <si>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</si>
  <si>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внутрішніх інженерних мереж (каналізація, водопостачання) ДНЗ №72 ( з ПКД) (кредиторська заборгованість 2014 року)</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</si>
  <si>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</si>
  <si>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</si>
  <si>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</si>
  <si>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</si>
  <si>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</si>
  <si>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</si>
  <si>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</si>
  <si>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</si>
  <si>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</si>
  <si>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</si>
  <si>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</si>
  <si>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</si>
  <si>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</si>
  <si>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</si>
  <si>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</si>
  <si>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</si>
  <si>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</si>
  <si>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</si>
  <si>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</si>
  <si>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</si>
  <si>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</si>
  <si>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</si>
  <si>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</si>
  <si>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</si>
  <si>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</si>
  <si>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</si>
  <si>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</si>
  <si>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</si>
  <si>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</si>
  <si>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</si>
  <si>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</si>
  <si>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</si>
  <si>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</si>
  <si>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</si>
  <si>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</si>
  <si>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3131-14695,55
3210-3526513,13</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</si>
  <si>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</si>
  <si>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</si>
  <si>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</si>
  <si>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</si>
  <si>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</si>
  <si>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Придбання інтерактивного лазерного тренажерного комплексу для вогневої підготовки зі стрілецької зброї</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</si>
  <si>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</si>
  <si>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</si>
  <si>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</si>
  <si>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</si>
  <si>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</si>
  <si>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</si>
  <si>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</si>
  <si>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</si>
  <si>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</si>
  <si>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</si>
  <si>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</si>
  <si>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</si>
  <si>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</si>
  <si>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</si>
  <si>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</si>
  <si>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</si>
  <si>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</si>
  <si>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</si>
  <si>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</si>
  <si>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</si>
  <si>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</si>
  <si>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</si>
  <si>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</si>
  <si>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</si>
  <si>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</si>
  <si>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</si>
  <si>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</si>
  <si>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</si>
  <si>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</si>
  <si>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</si>
  <si>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</si>
  <si>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</si>
  <si>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</si>
  <si>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</si>
  <si>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</si>
  <si>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</si>
  <si>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</si>
  <si>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</si>
  <si>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</si>
  <si>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</si>
  <si>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</si>
  <si>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</si>
  <si>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</si>
  <si>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</si>
  <si>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</si>
  <si>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</si>
  <si>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</si>
  <si>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</si>
  <si>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</si>
  <si>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</si>
  <si>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</si>
  <si>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</si>
  <si>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</si>
  <si>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</si>
  <si>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</si>
  <si>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</si>
  <si>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</si>
  <si>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</si>
  <si>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</si>
  <si>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</si>
  <si>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</si>
  <si>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</si>
  <si>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</si>
  <si>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</si>
  <si>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</si>
  <si>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</si>
  <si>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</si>
  <si>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</si>
  <si>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</si>
  <si>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</si>
  <si>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</si>
  <si>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</si>
  <si>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</si>
  <si>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</si>
  <si>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</si>
  <si>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ДНЗ № 33 пров.. Крилова, 7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</si>
  <si>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</si>
  <si>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</si>
  <si>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</si>
  <si>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</si>
  <si>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</si>
  <si>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</si>
  <si>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</si>
  <si>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</si>
  <si>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</si>
  <si>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</si>
  <si>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</si>
  <si>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</si>
  <si>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</si>
  <si>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</si>
  <si>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</si>
  <si>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</si>
  <si>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</si>
  <si>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</si>
  <si>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</si>
  <si>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</si>
  <si>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</si>
  <si>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</si>
  <si>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</si>
  <si>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</si>
  <si>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 xml:space="preserve"> - білірубінометри</t>
  </si>
  <si>
    <t xml:space="preserve"> - інкубатори для новонароджених</t>
  </si>
  <si>
    <t xml:space="preserve"> - електроніж</t>
  </si>
  <si>
    <t>Надійшло станом на 28.12.2015</t>
  </si>
  <si>
    <t>Профінансовано на 28.12.2015</t>
  </si>
  <si>
    <t xml:space="preserve">Залишок коштів на рахунку на 28.12.2015 </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</si>
  <si>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</si>
  <si>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</si>
  <si>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</si>
  <si>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</si>
  <si>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</si>
  <si>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</si>
  <si>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</si>
  <si>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</si>
  <si>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</si>
  <si>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</si>
  <si>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</si>
  <si>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</si>
  <si>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</si>
  <si>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</si>
  <si>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покрівлі спеціалізованої школи № 17 та часткова заміна вікон (кредиторська заборгованість минулих років)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</si>
  <si>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</si>
  <si>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</si>
  <si>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</si>
  <si>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</si>
  <si>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</si>
  <si>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</si>
  <si>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</si>
  <si>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</si>
  <si>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</si>
  <si>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</si>
  <si>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</si>
  <si>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</si>
  <si>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</si>
  <si>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</si>
  <si>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</si>
  <si>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</si>
  <si>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</si>
  <si>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</si>
  <si>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</si>
  <si>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</si>
  <si>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</si>
  <si>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</si>
  <si>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</si>
  <si>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</si>
  <si>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</si>
  <si>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</si>
  <si>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</si>
  <si>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</si>
  <si>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</si>
  <si>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</si>
  <si>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</si>
  <si>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</si>
  <si>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</si>
  <si>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</si>
  <si>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</si>
  <si>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</si>
  <si>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</si>
  <si>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</si>
  <si>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</si>
  <si>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</si>
  <si>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</si>
  <si>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</si>
  <si>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</si>
  <si>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</si>
  <si>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</si>
  <si>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</si>
  <si>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</si>
  <si>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</si>
  <si>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</si>
  <si>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</si>
  <si>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</si>
  <si>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</si>
  <si>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</si>
  <si>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</si>
  <si>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</si>
  <si>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</si>
  <si>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</si>
  <si>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</si>
  <si>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</si>
  <si>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</si>
  <si>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</si>
  <si>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</si>
  <si>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</si>
  <si>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</si>
  <si>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</si>
  <si>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</si>
  <si>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</si>
  <si>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</si>
  <si>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</si>
  <si>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</si>
  <si>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</si>
  <si>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</si>
  <si>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</si>
  <si>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</si>
  <si>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</si>
  <si>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</si>
  <si>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</si>
  <si>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</si>
  <si>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</si>
  <si>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</si>
  <si>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</si>
  <si>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</si>
  <si>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</si>
  <si>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</si>
  <si>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</si>
  <si>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</si>
  <si>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</si>
  <si>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</si>
  <si>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</si>
  <si>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</si>
  <si>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</si>
  <si>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</si>
  <si>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</si>
  <si>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</si>
  <si>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</si>
  <si>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</si>
  <si>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</si>
  <si>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</si>
  <si>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</si>
  <si>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</si>
  <si>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</si>
  <si>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</si>
  <si>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</si>
  <si>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</si>
  <si>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</si>
  <si>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</si>
  <si>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</si>
  <si>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</si>
  <si>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</si>
  <si>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</si>
  <si>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</si>
  <si>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</si>
  <si>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</si>
  <si>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</si>
  <si>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</si>
  <si>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</si>
  <si>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</si>
  <si>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</si>
  <si>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</si>
  <si>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</si>
  <si>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</si>
  <si>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</si>
  <si>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</si>
  <si>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</si>
  <si>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</si>
  <si>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</si>
  <si>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</si>
  <si>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</si>
  <si>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</si>
  <si>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</si>
  <si>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</si>
  <si>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</si>
  <si>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</si>
  <si>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</si>
  <si>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</si>
  <si>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</si>
  <si>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</si>
  <si>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</si>
  <si>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</si>
  <si>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</si>
  <si>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</si>
  <si>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</si>
  <si>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</si>
  <si>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</si>
  <si>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</si>
  <si>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</si>
  <si>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</si>
  <si>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</si>
  <si>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</si>
  <si>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</si>
  <si>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</si>
  <si>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</si>
  <si>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</si>
  <si>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</si>
  <si>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</si>
  <si>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</si>
  <si>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</si>
  <si>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</si>
  <si>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</si>
  <si>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</si>
  <si>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</si>
  <si>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</si>
  <si>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</si>
  <si>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</si>
  <si>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</si>
  <si>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</si>
  <si>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</si>
  <si>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</si>
  <si>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</si>
  <si>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</si>
  <si>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</si>
  <si>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</si>
  <si>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</si>
  <si>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</si>
  <si>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</si>
  <si>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</si>
  <si>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</si>
  <si>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</si>
  <si>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</si>
  <si>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</si>
  <si>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</si>
  <si>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</si>
  <si>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</si>
  <si>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</si>
  <si>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</si>
  <si>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</si>
  <si>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</si>
  <si>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</si>
  <si>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</si>
  <si>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</si>
  <si>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</si>
  <si>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</si>
  <si>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</si>
  <si>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</si>
  <si>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</si>
  <si>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</si>
  <si>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</si>
  <si>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</si>
  <si>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</si>
  <si>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</si>
  <si>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</si>
  <si>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</si>
  <si>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</si>
  <si>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</si>
  <si>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</si>
  <si>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</si>
  <si>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</si>
  <si>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</si>
  <si>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</si>
  <si>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</si>
  <si>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</si>
  <si>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</si>
  <si>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</si>
  <si>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</si>
  <si>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</si>
  <si>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</si>
  <si>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</si>
  <si>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</si>
  <si>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</si>
  <si>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</si>
  <si>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</si>
  <si>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</si>
  <si>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</si>
  <si>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</si>
  <si>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</si>
  <si>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</si>
  <si>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</si>
  <si>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</si>
  <si>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</si>
  <si>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</si>
  <si>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</si>
  <si>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</si>
  <si>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</si>
  <si>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</si>
  <si>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</si>
  <si>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</si>
  <si>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</si>
  <si>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</si>
  <si>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</si>
  <si>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</si>
  <si>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</si>
  <si>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</si>
  <si>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</si>
  <si>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</si>
  <si>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</si>
  <si>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</si>
  <si>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</si>
  <si>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</si>
  <si>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</si>
  <si>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</si>
  <si>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</si>
  <si>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</si>
  <si>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</si>
  <si>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</si>
  <si>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</si>
  <si>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</si>
  <si>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</si>
  <si>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</si>
  <si>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</si>
  <si>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</si>
  <si>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</si>
  <si>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</si>
  <si>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</si>
  <si>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</si>
  <si>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</si>
  <si>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</si>
  <si>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</si>
  <si>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</si>
  <si>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</si>
  <si>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</si>
  <si>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</si>
  <si>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</si>
  <si>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</si>
  <si>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</si>
  <si>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</si>
  <si>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</si>
  <si>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</si>
  <si>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</si>
  <si>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</si>
  <si>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</si>
  <si>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Капітальний ремонт будівлі КНП "Перша Черкаська міська поліклініка" ЧМР ( ремонт покрівлі)  (з розробкою ПКД)</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</si>
  <si>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</si>
  <si>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</si>
  <si>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</si>
  <si>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</si>
  <si>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</si>
  <si>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</si>
  <si>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</si>
  <si>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</si>
  <si>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</si>
  <si>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</si>
  <si>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</si>
  <si>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</si>
  <si>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</si>
  <si>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</si>
  <si>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</si>
  <si>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</si>
  <si>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</si>
  <si>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</si>
  <si>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</si>
  <si>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</si>
  <si>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</si>
  <si>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</si>
  <si>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</si>
  <si>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</si>
  <si>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</si>
  <si>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</si>
  <si>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</si>
  <si>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</si>
  <si>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</si>
  <si>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</si>
  <si>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Розміщено на депозиті станом на 18.12.15</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</si>
  <si>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</si>
  <si>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</si>
  <si>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</si>
  <si>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</si>
  <si>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</si>
  <si>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</si>
  <si>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</si>
  <si>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</si>
  <si>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</si>
  <si>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</si>
  <si>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</si>
  <si>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</si>
  <si>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</si>
  <si>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</si>
  <si>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</si>
  <si>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</si>
  <si>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</si>
  <si>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</si>
  <si>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</si>
  <si>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</si>
  <si>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</si>
  <si>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</si>
  <si>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</si>
  <si>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</si>
  <si>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</si>
  <si>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</si>
  <si>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</si>
  <si>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</si>
  <si>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</si>
  <si>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</si>
  <si>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</si>
  <si>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</si>
  <si>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</si>
  <si>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</si>
  <si>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</si>
  <si>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</si>
  <si>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</si>
  <si>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</si>
  <si>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</si>
  <si>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</si>
  <si>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</si>
  <si>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</si>
  <si>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</si>
  <si>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</si>
  <si>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</si>
  <si>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</si>
  <si>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</si>
  <si>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</si>
  <si>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</si>
  <si>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</si>
  <si>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</si>
  <si>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</si>
  <si>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</si>
  <si>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</si>
  <si>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</si>
  <si>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</si>
  <si>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</si>
  <si>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</si>
  <si>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</si>
  <si>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</si>
  <si>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</si>
  <si>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</si>
  <si>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</si>
  <si>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</si>
  <si>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</si>
  <si>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</si>
  <si>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</si>
  <si>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</si>
  <si>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</si>
  <si>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</si>
  <si>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</si>
  <si>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</si>
  <si>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</si>
  <si>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</si>
  <si>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</si>
  <si>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</si>
  <si>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</si>
  <si>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</si>
  <si>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</si>
  <si>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</si>
  <si>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підлоги приміщень  Черкаської дитячої художньої школи ім. Д. Нарбута (кредиторська заборгованість 2014 року)</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</si>
  <si>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</si>
  <si>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</si>
  <si>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</si>
  <si>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</si>
  <si>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будівлі (внутрішня система опалення) СШ № 17 (з ПКД)</t>
  </si>
  <si>
    <t>Капітальний ремонт приміщень (заміна вікон) Черкаської спеціалізованої школи І-ІІІ ступенів №17 Черкаської міської ради (з ПКД)</t>
  </si>
  <si>
    <t>на придбання світлодіодних конструкцій</t>
  </si>
  <si>
    <t>Реконструкція спортивного майданчика з синтетичним покриттям на фізкультурно-оздоровчому комплексі ДЮСШ «Дніпро 80» по вул.  Ярославській, 5 в м. Черкаси (з ПКД)</t>
  </si>
  <si>
    <t>Капітальний ремонт будівлі КЗ "Третя Черкаська міська лікарня швидкої медичної допомоги" Черкаської міської ради по вул. Рози Люксембург, 210 в м.Черкаси (з розробкою ПКД)</t>
  </si>
  <si>
    <t>Капітальний ремонт  вул.Вербовецького (капітальний ремонт тротуарів  від вул.Орджонікідзе до бул.Шевченка), м.Черкаси (з ПКД)</t>
  </si>
  <si>
    <t>Організація та проведення загальноміського конкурсу "Оточи себе красою" (на придбання гірки, каруселі, лави)</t>
  </si>
  <si>
    <t>Капітальний ремонт приміщення майнового комплексу за адресою вул. Благовісна, 170 (корпус Л-2)</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</si>
  <si>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</si>
  <si>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</si>
  <si>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</si>
  <si>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</si>
  <si>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</si>
  <si>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</si>
  <si>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</si>
  <si>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</si>
  <si>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</si>
  <si>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</si>
  <si>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</si>
  <si>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</si>
  <si>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</si>
  <si>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</si>
  <si>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</si>
  <si>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</si>
  <si>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Капітальний ремонт зовнішньої мережі гарячого водопостачання та опалення ЗОШ І-ІІІ ст. № 6 ЧМР</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</si>
  <si>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</si>
  <si>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</si>
  <si>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</si>
  <si>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</si>
  <si>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</si>
  <si>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</si>
  <si>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Капітальний ремонт приміщень (санвузли) ЗОШ №25 (з ПКД)</t>
  </si>
  <si>
    <t>Капітальний ремонт приміщень (санвузли) ЗОШ №32 (з ПКД)</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</si>
  <si>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</si>
  <si>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</si>
  <si>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</si>
  <si>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</si>
  <si>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</si>
  <si>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</si>
  <si>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</si>
  <si>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</si>
  <si>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</si>
  <si>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</si>
  <si>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</si>
  <si>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</si>
  <si>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</si>
  <si>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</si>
  <si>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</si>
  <si>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</si>
  <si>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</si>
  <si>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</si>
  <si>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</si>
  <si>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</si>
  <si>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</si>
  <si>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</si>
  <si>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</si>
  <si>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</si>
  <si>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</si>
  <si>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</si>
  <si>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</si>
  <si>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</si>
  <si>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</si>
  <si>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</si>
  <si>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</si>
  <si>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</si>
  <si>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</si>
  <si>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</si>
  <si>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</si>
  <si>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</si>
  <si>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</si>
  <si>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</si>
  <si>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</si>
  <si>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</si>
  <si>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</si>
  <si>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</si>
  <si>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</si>
  <si>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</si>
  <si>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</si>
  <si>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</si>
  <si>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</si>
  <si>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</si>
  <si>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</si>
  <si>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</si>
  <si>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</si>
  <si>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</si>
  <si>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</si>
  <si>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</si>
  <si>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</si>
  <si>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</si>
  <si>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</si>
  <si>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</si>
  <si>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</si>
  <si>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</si>
  <si>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</si>
  <si>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</si>
  <si>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</si>
  <si>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</si>
  <si>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</si>
  <si>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</si>
  <si>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</si>
  <si>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</si>
  <si>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</si>
  <si>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</si>
  <si>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</si>
  <si>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</si>
  <si>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</si>
  <si>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</si>
  <si>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</si>
  <si>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</si>
  <si>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</si>
  <si>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</si>
  <si>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</si>
  <si>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</si>
  <si>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</si>
  <si>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</si>
  <si>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</si>
  <si>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</si>
  <si>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</si>
  <si>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</si>
  <si>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</si>
  <si>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</si>
  <si>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</si>
  <si>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</si>
  <si>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</si>
  <si>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</si>
  <si>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</si>
  <si>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</si>
  <si>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</si>
  <si>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</si>
  <si>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</si>
  <si>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</si>
  <si>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</si>
  <si>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</si>
  <si>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</si>
  <si>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</si>
  <si>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</si>
  <si>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</si>
  <si>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</si>
  <si>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</si>
  <si>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</si>
  <si>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</si>
  <si>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</si>
  <si>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</si>
  <si>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</si>
  <si>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</si>
  <si>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</si>
  <si>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</si>
  <si>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</si>
  <si>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</si>
  <si>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</si>
  <si>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</si>
  <si>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</si>
  <si>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</si>
  <si>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</si>
  <si>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</si>
  <si>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</si>
  <si>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</si>
  <si>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</si>
  <si>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</si>
  <si>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Реконструкція спортивного майданчика по вул. Пилипенка, 10 м. Черкаси (з ПКД)</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</si>
  <si>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</si>
  <si>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</si>
  <si>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</si>
  <si>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</si>
  <si>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</si>
  <si>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</si>
  <si>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</si>
  <si>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</si>
  <si>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</si>
  <si>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</si>
  <si>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</si>
  <si>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</si>
  <si>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</si>
  <si>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</si>
  <si>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</si>
  <si>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</si>
  <si>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</si>
  <si>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</si>
  <si>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</si>
  <si>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</si>
  <si>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</si>
  <si>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</si>
  <si>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</si>
  <si>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</si>
  <si>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</si>
  <si>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(ІІ черга)</t>
  </si>
  <si>
    <t>на реконструкцію запасного футбольного поля на території КП "Центральний стадіон" по вул. Смілянській 78 м. Черкаси (з ПКД)</t>
  </si>
  <si>
    <t xml:space="preserve"> - гістероскоп (операційний тубус гістероскопа, помпа медична, трубка оптична, освітлювач ксеноновий)</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</si>
  <si>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</si>
  <si>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</si>
  <si>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</si>
  <si>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</si>
  <si>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</si>
  <si>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</si>
  <si>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</si>
  <si>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</si>
  <si>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</si>
  <si>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</si>
  <si>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</si>
  <si>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</si>
  <si>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</si>
  <si>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</si>
  <si>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</si>
  <si>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</si>
  <si>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</si>
  <si>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</si>
  <si>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</si>
  <si>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</si>
  <si>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</si>
  <si>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</si>
  <si>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</si>
  <si>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</si>
  <si>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</si>
  <si>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</si>
  <si>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</si>
  <si>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</si>
  <si>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</si>
  <si>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</si>
  <si>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</si>
  <si>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</si>
  <si>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</si>
  <si>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</si>
  <si>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</si>
  <si>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</si>
  <si>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</si>
  <si>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</si>
  <si>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</si>
  <si>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</si>
  <si>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</si>
  <si>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</si>
  <si>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</si>
  <si>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</si>
  <si>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</si>
  <si>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</si>
  <si>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</si>
  <si>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</si>
  <si>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</si>
  <si>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</si>
  <si>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</si>
  <si>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</si>
  <si>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</si>
  <si>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</si>
  <si>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Капітальний ремонт будівлі (покрівля) станції юних техніків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</si>
  <si>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</si>
  <si>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</si>
  <si>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</si>
  <si>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</si>
  <si>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</si>
  <si>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</si>
  <si>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</si>
  <si>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</si>
  <si>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"Черкаситеплокомуненерго", у т.ч.:</t>
  </si>
  <si>
    <t>Капітальний ремонт проїздів по вул. Чехова 106,108,110; вул. Горького 130;  вул. Ватутіна 173, 173/1, 173/2, Чехова 54,56, Петровського 185, 187</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</si>
</sst>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8"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2" fillId="22" borderId="7" applyNumberFormat="0" applyAlignment="0" applyProtection="0"/>
    <xf numFmtId="0" fontId="33"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12" fillId="0" borderId="0">
      <alignment/>
      <protection/>
    </xf>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5" fillId="6" borderId="0" applyNumberFormat="0" applyBorder="0" applyAlignment="0" applyProtection="0"/>
  </cellStyleXfs>
  <cellXfs count="35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4" fontId="11" fillId="24" borderId="10" xfId="95" applyNumberFormat="1" applyFont="1" applyFill="1" applyBorder="1" applyAlignment="1">
      <alignment horizontal="center" vertical="center"/>
    </xf>
    <xf numFmtId="0" fontId="16" fillId="0" borderId="12"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180" fontId="16" fillId="24" borderId="10" xfId="0" applyNumberFormat="1" applyFont="1" applyFill="1" applyBorder="1" applyAlignment="1">
      <alignment horizontal="left" vertical="top" wrapText="1"/>
    </xf>
    <xf numFmtId="49" fontId="11" fillId="0" borderId="22" xfId="0" applyNumberFormat="1" applyFont="1" applyBorder="1" applyAlignment="1">
      <alignment horizontal="center" vertical="justify" wrapText="1"/>
    </xf>
    <xf numFmtId="189" fontId="25" fillId="0" borderId="18" xfId="0" applyNumberFormat="1" applyFont="1" applyFill="1" applyBorder="1" applyAlignment="1">
      <alignment horizontal="left" vertical="center" wrapText="1"/>
    </xf>
    <xf numFmtId="189" fontId="25" fillId="0" borderId="23"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11" fillId="0" borderId="22"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2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2" xfId="0" applyNumberFormat="1" applyFont="1" applyFill="1" applyBorder="1" applyAlignment="1" applyProtection="1">
      <alignment horizontal="center" vertical="top"/>
      <protection/>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3"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3" fillId="0" borderId="18" xfId="79" applyFont="1" applyBorder="1" applyAlignment="1">
      <alignment horizontal="center" vertical="center" wrapText="1"/>
      <protection/>
    </xf>
    <xf numFmtId="0" fontId="3" fillId="0" borderId="23"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3"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3"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3"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3"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3"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8"/>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836</v>
      </c>
      <c r="B2" s="336" t="s">
        <v>837</v>
      </c>
      <c r="C2" s="337"/>
      <c r="D2" s="337"/>
      <c r="E2" s="337"/>
      <c r="F2" s="337"/>
      <c r="G2" s="337"/>
      <c r="H2" s="337"/>
      <c r="I2" s="338"/>
      <c r="J2" s="150" t="s">
        <v>838</v>
      </c>
      <c r="K2" s="148" t="s">
        <v>839</v>
      </c>
      <c r="L2" s="148" t="s">
        <v>840</v>
      </c>
      <c r="M2" s="151" t="s">
        <v>841</v>
      </c>
      <c r="N2" s="151" t="s">
        <v>842</v>
      </c>
      <c r="O2" s="151" t="s">
        <v>843</v>
      </c>
      <c r="P2" s="151" t="s">
        <v>844</v>
      </c>
      <c r="Q2" s="151" t="s">
        <v>845</v>
      </c>
      <c r="R2" s="151" t="s">
        <v>137</v>
      </c>
      <c r="S2" s="151" t="s">
        <v>171</v>
      </c>
      <c r="T2" s="151" t="s">
        <v>172</v>
      </c>
      <c r="U2" s="151" t="s">
        <v>147</v>
      </c>
      <c r="V2" s="151" t="s">
        <v>148</v>
      </c>
      <c r="W2" s="152" t="s">
        <v>315</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45" t="s">
        <v>300</v>
      </c>
      <c r="C3" s="346"/>
      <c r="D3" s="346"/>
      <c r="E3" s="346"/>
      <c r="F3" s="346"/>
      <c r="G3" s="346"/>
      <c r="H3" s="346"/>
      <c r="I3" s="347"/>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+28.34+4.18+9.76+0.77+6.26+3.34+2.99</f>
        <v>619049.3200000003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45" t="s">
        <v>518</v>
      </c>
      <c r="C4" s="346"/>
      <c r="D4" s="346"/>
      <c r="E4" s="346"/>
      <c r="F4" s="346"/>
      <c r="G4" s="346"/>
      <c r="H4" s="346"/>
      <c r="I4" s="347"/>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+96282+19273+22770+2150+9000</f>
        <v>8362475.09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45" t="s">
        <v>519</v>
      </c>
      <c r="C5" s="346"/>
      <c r="D5" s="346"/>
      <c r="E5" s="346"/>
      <c r="F5" s="346"/>
      <c r="G5" s="346"/>
      <c r="H5" s="346"/>
      <c r="I5" s="347"/>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1667982.6+217.81+219.81+149998+219.81+20000+219.81+219.81+20000+20000+439.62+183912+199647+9150+265.26+20000+242.54+1308+1887</f>
        <v>2295929.0700000003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48" t="s">
        <v>149</v>
      </c>
      <c r="C6" s="349"/>
      <c r="D6" s="349"/>
      <c r="E6" s="349"/>
      <c r="F6" s="349"/>
      <c r="G6" s="349"/>
      <c r="H6" s="349"/>
      <c r="I6" s="350"/>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11277453.48</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4" t="s">
        <v>520</v>
      </c>
      <c r="C7" s="285"/>
      <c r="D7" s="285"/>
      <c r="E7" s="285"/>
      <c r="F7" s="285"/>
      <c r="G7" s="285"/>
      <c r="H7" s="285"/>
      <c r="I7" s="286"/>
      <c r="J7" s="156">
        <f>91632102.35+248250+2500000+15600+14434+4358-27000+978255.41+13590138.53-3630959-167000+8580000+179200-1224799.78-489462.35+720000-1706404.76</f>
        <v>111216712.39999999</v>
      </c>
      <c r="K7" s="9"/>
      <c r="L7" s="9"/>
      <c r="M7" s="9">
        <v>0</v>
      </c>
      <c r="N7" s="9">
        <f>P869</f>
        <v>0</v>
      </c>
      <c r="O7" s="9">
        <f>Q869</f>
        <v>0</v>
      </c>
      <c r="P7" s="9">
        <f>4358+274531.81+18754.7</f>
        <v>297644.51</v>
      </c>
      <c r="Q7" s="9">
        <f>-27000</f>
        <v>-27000</v>
      </c>
      <c r="R7" s="9">
        <f>285418</f>
        <v>285418</v>
      </c>
      <c r="S7" s="9">
        <f>U869</f>
        <v>20000</v>
      </c>
      <c r="T7" s="9">
        <f>V869</f>
        <v>0</v>
      </c>
      <c r="U7" s="9">
        <f>9550.9+390000</f>
        <v>399550.9</v>
      </c>
      <c r="V7" s="9">
        <f>X869</f>
        <v>1912</v>
      </c>
      <c r="W7" s="9">
        <f>500878.57+20883789.29+13803976.79+7506813.9+1188+2189400+1188+1247644.51+22646.7+28851.3+18786615.38+13748459.7+35243.6+1584+10000000+5000000+2324380.75+29921.9+7494419.5+32123.7+700000+880000+366400+133000+650000+1431000+4419600+54722.5+999550.9+9098.6-1214286.78+11567.5+130537.65+524000+9601.2+179200-1706404.76-527702</f>
        <v>110689010.4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4" t="s">
        <v>174</v>
      </c>
      <c r="C8" s="285"/>
      <c r="D8" s="285"/>
      <c r="E8" s="285"/>
      <c r="F8" s="285"/>
      <c r="G8" s="285"/>
      <c r="H8" s="285"/>
      <c r="I8" s="286"/>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4" t="s">
        <v>540</v>
      </c>
      <c r="C9" s="285"/>
      <c r="D9" s="285"/>
      <c r="E9" s="285"/>
      <c r="F9" s="285"/>
      <c r="G9" s="285"/>
      <c r="H9" s="285"/>
      <c r="I9" s="286"/>
      <c r="J9" s="156">
        <f>SUM(K9:V9)</f>
        <v>1068039</v>
      </c>
      <c r="K9" s="9"/>
      <c r="L9" s="9"/>
      <c r="M9" s="9">
        <v>562839</v>
      </c>
      <c r="N9" s="9">
        <v>64800</v>
      </c>
      <c r="O9" s="9">
        <v>104800</v>
      </c>
      <c r="P9" s="9">
        <f>85600+60000</f>
        <v>145600</v>
      </c>
      <c r="Q9" s="9"/>
      <c r="R9" s="9"/>
      <c r="S9" s="9">
        <v>150000</v>
      </c>
      <c r="T9" s="9">
        <v>20000</v>
      </c>
      <c r="U9" s="9"/>
      <c r="V9" s="9">
        <v>20000</v>
      </c>
      <c r="W9" s="9">
        <f>413000+155339+2371.2+5000+68000+7700+25000+5532.8+107705.3+60000+150000+14293+20000+8000</f>
        <v>1041941.3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51" t="s">
        <v>550</v>
      </c>
      <c r="C10" s="352"/>
      <c r="D10" s="352"/>
      <c r="E10" s="352"/>
      <c r="F10" s="352"/>
      <c r="G10" s="352"/>
      <c r="H10" s="352"/>
      <c r="I10" s="353"/>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1" t="s">
        <v>150</v>
      </c>
      <c r="C11" s="332"/>
      <c r="D11" s="332"/>
      <c r="E11" s="332"/>
      <c r="F11" s="332"/>
      <c r="G11" s="332"/>
      <c r="H11" s="332"/>
      <c r="I11" s="333"/>
      <c r="J11" s="163">
        <f>J6+J7+J9+J10+J8</f>
        <v>132121751.39999999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5356184</v>
      </c>
      <c r="W11" s="163">
        <f t="shared" si="1"/>
        <v>123008405.18</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42" t="s">
        <v>151</v>
      </c>
      <c r="C12" s="343"/>
      <c r="D12" s="343"/>
      <c r="E12" s="343"/>
      <c r="F12" s="343"/>
      <c r="G12" s="343"/>
      <c r="H12" s="343"/>
      <c r="I12" s="344"/>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39" t="s">
        <v>317</v>
      </c>
      <c r="C13" s="340"/>
      <c r="D13" s="340"/>
      <c r="E13" s="340"/>
      <c r="F13" s="340"/>
      <c r="G13" s="340"/>
      <c r="H13" s="340"/>
      <c r="I13" s="341"/>
      <c r="J13" s="37">
        <f>J12+W11-W918-J14</f>
        <v>59992292.52000001</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hidden="1">
      <c r="A14" s="170"/>
      <c r="B14" s="309" t="s">
        <v>644</v>
      </c>
      <c r="C14" s="310"/>
      <c r="D14" s="310"/>
      <c r="E14" s="310"/>
      <c r="F14" s="310"/>
      <c r="G14" s="310"/>
      <c r="H14" s="310"/>
      <c r="I14" s="311"/>
      <c r="J14" s="37">
        <f>50132318.17+85000000+31800508.45-5000000+8500000-1400000-630000-755000-5200000-1660000-2220000-229000-1900000-1110000-691000-1417000-1740000-326000-3586000-1283000-6640000-91000-485000-5418000-2566000-695500-607000-1960000-1031500-541500-244800-693000-428354-3370000-2394000-3083500-1495000-133137-633900-214630.8-3659100-2057500-98100-22428000-1097000-503700-1933200-81783404.82</f>
        <v>0</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298</v>
      </c>
      <c r="C16" s="187" t="s">
        <v>291</v>
      </c>
      <c r="D16" s="187" t="s">
        <v>894</v>
      </c>
      <c r="E16" s="174" t="s">
        <v>481</v>
      </c>
      <c r="F16" s="174" t="s">
        <v>293</v>
      </c>
      <c r="G16" s="174" t="s">
        <v>294</v>
      </c>
      <c r="H16" s="174" t="s">
        <v>295</v>
      </c>
      <c r="I16" s="174" t="s">
        <v>299</v>
      </c>
      <c r="J16" s="176" t="s">
        <v>878</v>
      </c>
      <c r="K16" s="77" t="s">
        <v>229</v>
      </c>
      <c r="L16" s="77" t="s">
        <v>230</v>
      </c>
      <c r="M16" s="77" t="s">
        <v>231</v>
      </c>
      <c r="N16" s="77" t="s">
        <v>849</v>
      </c>
      <c r="O16" s="77" t="s">
        <v>850</v>
      </c>
      <c r="P16" s="77" t="s">
        <v>851</v>
      </c>
      <c r="Q16" s="77" t="s">
        <v>852</v>
      </c>
      <c r="R16" s="77" t="s">
        <v>853</v>
      </c>
      <c r="S16" s="77" t="s">
        <v>854</v>
      </c>
      <c r="T16" s="77" t="s">
        <v>855</v>
      </c>
      <c r="U16" s="77" t="s">
        <v>856</v>
      </c>
      <c r="V16" s="77" t="s">
        <v>857</v>
      </c>
      <c r="W16" s="77" t="s">
        <v>316</v>
      </c>
      <c r="X16" s="77" t="s">
        <v>152</v>
      </c>
    </row>
    <row r="17" spans="1:24" s="8" customFormat="1" ht="15.75">
      <c r="A17" s="7"/>
      <c r="B17" s="188"/>
      <c r="C17" s="189"/>
      <c r="D17" s="294" t="s">
        <v>267</v>
      </c>
      <c r="E17" s="295"/>
      <c r="F17" s="58"/>
      <c r="G17" s="59"/>
      <c r="H17" s="212"/>
      <c r="I17" s="245"/>
      <c r="J17" s="58">
        <f>J18+J33</f>
        <v>5518552.13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121600</v>
      </c>
      <c r="W17" s="58">
        <f t="shared" si="2"/>
        <v>4124719.2600000002</v>
      </c>
      <c r="X17" s="60">
        <f aca="true" t="shared" si="3" ref="X17:X80">J17-W17</f>
        <v>1393832.8699999996</v>
      </c>
    </row>
    <row r="18" spans="1:24" s="8" customFormat="1" ht="15.75">
      <c r="A18" s="7"/>
      <c r="B18" s="312" t="s">
        <v>292</v>
      </c>
      <c r="C18" s="312" t="s">
        <v>290</v>
      </c>
      <c r="D18" s="288" t="s">
        <v>328</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3035581.6</v>
      </c>
      <c r="X18" s="184">
        <f t="shared" si="3"/>
        <v>506370.5299999998</v>
      </c>
    </row>
    <row r="19" spans="1:27" s="8" customFormat="1" ht="63">
      <c r="A19" s="7"/>
      <c r="B19" s="312"/>
      <c r="C19" s="312"/>
      <c r="D19" s="289"/>
      <c r="E19" s="54" t="s">
        <v>329</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468</v>
      </c>
    </row>
    <row r="20" spans="1:24" s="8" customFormat="1" ht="47.25">
      <c r="A20" s="7"/>
      <c r="B20" s="312"/>
      <c r="C20" s="312"/>
      <c r="D20" s="289"/>
      <c r="E20" s="28" t="s">
        <v>866</v>
      </c>
      <c r="F20" s="55"/>
      <c r="G20" s="56"/>
      <c r="H20" s="213"/>
      <c r="I20" s="247">
        <v>3110</v>
      </c>
      <c r="J20" s="49">
        <v>350000</v>
      </c>
      <c r="K20" s="49"/>
      <c r="L20" s="49"/>
      <c r="M20" s="49"/>
      <c r="N20" s="49"/>
      <c r="O20" s="49"/>
      <c r="P20" s="49">
        <v>350000</v>
      </c>
      <c r="Q20" s="49"/>
      <c r="R20" s="49"/>
      <c r="S20" s="49"/>
      <c r="T20" s="49"/>
      <c r="U20" s="49"/>
      <c r="V20" s="49"/>
      <c r="W20" s="49">
        <f>27540+317634.08</f>
        <v>345174.08</v>
      </c>
      <c r="X20" s="40">
        <f t="shared" si="3"/>
        <v>4825.919999999984</v>
      </c>
    </row>
    <row r="21" spans="1:24" s="8" customFormat="1" ht="47.25">
      <c r="A21" s="7"/>
      <c r="B21" s="312"/>
      <c r="C21" s="312"/>
      <c r="D21" s="289"/>
      <c r="E21" s="28" t="s">
        <v>867</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12"/>
      <c r="C22" s="312"/>
      <c r="D22" s="289"/>
      <c r="E22" s="28" t="s">
        <v>868</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12"/>
      <c r="C23" s="312"/>
      <c r="D23" s="289"/>
      <c r="E23" s="28" t="s">
        <v>869</v>
      </c>
      <c r="F23" s="55"/>
      <c r="G23" s="56"/>
      <c r="H23" s="213"/>
      <c r="I23" s="247">
        <v>3110</v>
      </c>
      <c r="J23" s="49">
        <f>290000+58104</f>
        <v>348104</v>
      </c>
      <c r="K23" s="49"/>
      <c r="L23" s="49"/>
      <c r="M23" s="49"/>
      <c r="N23" s="49"/>
      <c r="O23" s="49">
        <v>290000</v>
      </c>
      <c r="P23" s="49"/>
      <c r="Q23" s="49"/>
      <c r="R23" s="49"/>
      <c r="S23" s="49"/>
      <c r="T23" s="49"/>
      <c r="U23" s="49">
        <v>58104</v>
      </c>
      <c r="V23" s="49"/>
      <c r="W23" s="49">
        <f>42372+25343+110700+125254.38</f>
        <v>303669.38</v>
      </c>
      <c r="X23" s="40">
        <f t="shared" si="3"/>
        <v>44434.619999999995</v>
      </c>
    </row>
    <row r="24" spans="1:24" s="8" customFormat="1" ht="78.75">
      <c r="A24" s="7"/>
      <c r="B24" s="312"/>
      <c r="C24" s="312"/>
      <c r="D24" s="289"/>
      <c r="E24" s="28" t="s">
        <v>146</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12"/>
      <c r="C25" s="312"/>
      <c r="D25" s="289"/>
      <c r="E25" s="28" t="s">
        <v>370</v>
      </c>
      <c r="F25" s="55"/>
      <c r="G25" s="56"/>
      <c r="H25" s="213"/>
      <c r="I25" s="247">
        <v>3132</v>
      </c>
      <c r="J25" s="49">
        <f>500000+580000-16800-39000-24900</f>
        <v>999300</v>
      </c>
      <c r="K25" s="49"/>
      <c r="L25" s="49"/>
      <c r="M25" s="49"/>
      <c r="N25" s="49"/>
      <c r="O25" s="49"/>
      <c r="P25" s="49"/>
      <c r="Q25" s="49"/>
      <c r="R25" s="49"/>
      <c r="S25" s="49">
        <f>500000+580000</f>
        <v>1080000</v>
      </c>
      <c r="T25" s="49"/>
      <c r="U25" s="49">
        <f>-16800-39000</f>
        <v>-55800</v>
      </c>
      <c r="V25" s="49">
        <v>-24900</v>
      </c>
      <c r="W25" s="49">
        <f>489401.64+128074.32+9379.24+362630.27+5522.29</f>
        <v>995007.76</v>
      </c>
      <c r="X25" s="40">
        <f t="shared" si="3"/>
        <v>4292.239999999991</v>
      </c>
    </row>
    <row r="26" spans="1:24" s="8" customFormat="1" ht="63">
      <c r="A26" s="7"/>
      <c r="B26" s="312"/>
      <c r="C26" s="312"/>
      <c r="D26" s="289"/>
      <c r="E26" s="28" t="s">
        <v>771</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12"/>
      <c r="C27" s="312"/>
      <c r="D27" s="289"/>
      <c r="E27" s="28" t="s">
        <v>371</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12"/>
      <c r="C28" s="312"/>
      <c r="D28" s="289"/>
      <c r="E28" s="28" t="s">
        <v>737</v>
      </c>
      <c r="F28" s="55"/>
      <c r="G28" s="56"/>
      <c r="H28" s="213"/>
      <c r="I28" s="247">
        <v>3132</v>
      </c>
      <c r="J28" s="49">
        <v>340000</v>
      </c>
      <c r="K28" s="49"/>
      <c r="L28" s="49"/>
      <c r="M28" s="49"/>
      <c r="N28" s="49"/>
      <c r="O28" s="49"/>
      <c r="P28" s="49"/>
      <c r="Q28" s="49"/>
      <c r="R28" s="49"/>
      <c r="S28" s="49">
        <v>340000</v>
      </c>
      <c r="T28" s="49"/>
      <c r="U28" s="49"/>
      <c r="V28" s="49"/>
      <c r="W28" s="49">
        <f>167004.74+150712.94+4769</f>
        <v>322486.68</v>
      </c>
      <c r="X28" s="40">
        <f t="shared" si="3"/>
        <v>17513.320000000007</v>
      </c>
    </row>
    <row r="29" spans="1:24" s="8" customFormat="1" ht="47.25">
      <c r="A29" s="7"/>
      <c r="B29" s="312"/>
      <c r="C29" s="312"/>
      <c r="D29" s="289"/>
      <c r="E29" s="28" t="s">
        <v>772</v>
      </c>
      <c r="F29" s="55"/>
      <c r="G29" s="56"/>
      <c r="H29" s="213"/>
      <c r="I29" s="247">
        <v>3132</v>
      </c>
      <c r="J29" s="49">
        <f>89000+24900</f>
        <v>113900</v>
      </c>
      <c r="K29" s="49"/>
      <c r="L29" s="49"/>
      <c r="M29" s="49"/>
      <c r="N29" s="49"/>
      <c r="O29" s="49"/>
      <c r="P29" s="49"/>
      <c r="Q29" s="49"/>
      <c r="R29" s="49"/>
      <c r="S29" s="49"/>
      <c r="T29" s="49"/>
      <c r="U29" s="49">
        <v>89000</v>
      </c>
      <c r="V29" s="49">
        <v>24900</v>
      </c>
      <c r="W29" s="49">
        <f>45317.4+42100.54+1318.39</f>
        <v>88736.33</v>
      </c>
      <c r="X29" s="40">
        <f t="shared" si="3"/>
        <v>25163.67</v>
      </c>
    </row>
    <row r="30" spans="1:24" s="8" customFormat="1" ht="47.25">
      <c r="A30" s="7"/>
      <c r="B30" s="312"/>
      <c r="C30" s="312"/>
      <c r="D30" s="289"/>
      <c r="E30" s="12" t="s">
        <v>17</v>
      </c>
      <c r="F30" s="55"/>
      <c r="G30" s="56"/>
      <c r="H30" s="213"/>
      <c r="I30" s="247">
        <v>3132</v>
      </c>
      <c r="J30" s="49">
        <v>700000</v>
      </c>
      <c r="K30" s="49"/>
      <c r="L30" s="49"/>
      <c r="M30" s="49"/>
      <c r="N30" s="49"/>
      <c r="O30" s="49"/>
      <c r="P30" s="49"/>
      <c r="Q30" s="49"/>
      <c r="R30" s="49"/>
      <c r="S30" s="49"/>
      <c r="T30" s="49"/>
      <c r="U30" s="49">
        <v>600000</v>
      </c>
      <c r="V30" s="49">
        <v>100000</v>
      </c>
      <c r="W30" s="49">
        <f>168706.44+58399.56+285773.04+3433</f>
        <v>516312.04</v>
      </c>
      <c r="X30" s="40">
        <f t="shared" si="3"/>
        <v>183687.96000000002</v>
      </c>
    </row>
    <row r="31" spans="1:24" s="8" customFormat="1" ht="15.75">
      <c r="A31" s="7"/>
      <c r="B31" s="312"/>
      <c r="C31" s="312"/>
      <c r="D31" s="289"/>
      <c r="E31" s="12" t="s">
        <v>18</v>
      </c>
      <c r="F31" s="55"/>
      <c r="G31" s="56"/>
      <c r="H31" s="213"/>
      <c r="I31" s="247">
        <v>3110</v>
      </c>
      <c r="J31" s="49">
        <v>20000</v>
      </c>
      <c r="K31" s="49"/>
      <c r="L31" s="49"/>
      <c r="M31" s="49"/>
      <c r="N31" s="49"/>
      <c r="O31" s="49"/>
      <c r="P31" s="49"/>
      <c r="Q31" s="49"/>
      <c r="R31" s="49"/>
      <c r="S31" s="49"/>
      <c r="T31" s="49"/>
      <c r="U31" s="49">
        <v>20000</v>
      </c>
      <c r="V31" s="49"/>
      <c r="W31" s="49">
        <f>7418.88+11128.32</f>
        <v>18547.2</v>
      </c>
      <c r="X31" s="40">
        <f t="shared" si="3"/>
        <v>1452.7999999999993</v>
      </c>
    </row>
    <row r="32" spans="1:24" s="8" customFormat="1" ht="94.5">
      <c r="A32" s="7"/>
      <c r="B32" s="312"/>
      <c r="C32" s="312"/>
      <c r="D32" s="290"/>
      <c r="E32" s="28" t="s">
        <v>200</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16" t="s">
        <v>484</v>
      </c>
      <c r="C33" s="316" t="s">
        <v>257</v>
      </c>
      <c r="D33" s="315" t="s">
        <v>493</v>
      </c>
      <c r="E33" s="28"/>
      <c r="F33" s="55"/>
      <c r="G33" s="56"/>
      <c r="H33" s="55"/>
      <c r="I33" s="247"/>
      <c r="J33" s="184">
        <f>SUM(J34:J36)</f>
        <v>1976600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21600</v>
      </c>
      <c r="W33" s="184">
        <f t="shared" si="5"/>
        <v>1089137.6600000001</v>
      </c>
      <c r="X33" s="184">
        <f t="shared" si="3"/>
        <v>887462.3399999999</v>
      </c>
    </row>
    <row r="34" spans="1:24" s="8" customFormat="1" ht="78.75">
      <c r="A34" s="7"/>
      <c r="B34" s="317"/>
      <c r="C34" s="317"/>
      <c r="D34" s="315"/>
      <c r="E34" s="28" t="s">
        <v>868</v>
      </c>
      <c r="F34" s="55"/>
      <c r="G34" s="56"/>
      <c r="H34" s="55"/>
      <c r="I34" s="281" t="s">
        <v>120</v>
      </c>
      <c r="J34" s="49">
        <f>700000+222000+21600</f>
        <v>943600</v>
      </c>
      <c r="K34" s="49"/>
      <c r="L34" s="49"/>
      <c r="M34" s="49"/>
      <c r="N34" s="49"/>
      <c r="O34" s="49"/>
      <c r="P34" s="49"/>
      <c r="Q34" s="49">
        <v>350000</v>
      </c>
      <c r="R34" s="49">
        <v>350000</v>
      </c>
      <c r="S34" s="49">
        <v>222000</v>
      </c>
      <c r="T34" s="49"/>
      <c r="U34" s="49"/>
      <c r="V34" s="49">
        <v>21600</v>
      </c>
      <c r="W34" s="49">
        <f>2388.33+211655.4+142591.8+189313.24+1704+210535.8+147310.09</f>
        <v>905498.66</v>
      </c>
      <c r="X34" s="40">
        <f t="shared" si="3"/>
        <v>38101.33999999997</v>
      </c>
    </row>
    <row r="35" spans="1:24" s="8" customFormat="1" ht="94.5">
      <c r="A35" s="7"/>
      <c r="B35" s="317"/>
      <c r="C35" s="317"/>
      <c r="D35" s="315"/>
      <c r="E35" s="28" t="s">
        <v>351</v>
      </c>
      <c r="F35" s="55"/>
      <c r="G35" s="56"/>
      <c r="H35" s="55"/>
      <c r="I35" s="281">
        <v>3110</v>
      </c>
      <c r="J35" s="49">
        <v>300000</v>
      </c>
      <c r="K35" s="49"/>
      <c r="L35" s="49"/>
      <c r="M35" s="49"/>
      <c r="N35" s="49"/>
      <c r="O35" s="49"/>
      <c r="P35" s="49"/>
      <c r="Q35" s="49"/>
      <c r="R35" s="49"/>
      <c r="S35" s="49"/>
      <c r="T35" s="49">
        <v>300000</v>
      </c>
      <c r="U35" s="49"/>
      <c r="V35" s="49"/>
      <c r="W35" s="49">
        <f>183639</f>
        <v>183639</v>
      </c>
      <c r="X35" s="40">
        <f t="shared" si="3"/>
        <v>116361</v>
      </c>
    </row>
    <row r="36" spans="1:24" s="8" customFormat="1" ht="31.5">
      <c r="A36" s="7"/>
      <c r="B36" s="318"/>
      <c r="C36" s="318"/>
      <c r="D36" s="315"/>
      <c r="E36" s="28" t="s">
        <v>67</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29" t="s">
        <v>201</v>
      </c>
      <c r="E37" s="330"/>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180090</v>
      </c>
      <c r="X37" s="60">
        <f t="shared" si="3"/>
        <v>26610</v>
      </c>
    </row>
    <row r="38" spans="1:24" s="8" customFormat="1" ht="15.75">
      <c r="A38" s="7"/>
      <c r="B38" s="313" t="s">
        <v>292</v>
      </c>
      <c r="C38" s="313" t="s">
        <v>290</v>
      </c>
      <c r="D38" s="288" t="s">
        <v>328</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180090</v>
      </c>
      <c r="X38" s="184">
        <f t="shared" si="3"/>
        <v>26610</v>
      </c>
    </row>
    <row r="39" spans="1:24" s="8" customFormat="1" ht="173.25">
      <c r="A39" s="7"/>
      <c r="B39" s="283"/>
      <c r="C39" s="283"/>
      <c r="D39" s="289"/>
      <c r="E39" s="28" t="s">
        <v>288</v>
      </c>
      <c r="F39" s="57"/>
      <c r="G39" s="61"/>
      <c r="H39" s="214"/>
      <c r="I39" s="247">
        <v>3110</v>
      </c>
      <c r="J39" s="49">
        <v>25000</v>
      </c>
      <c r="K39" s="49"/>
      <c r="L39" s="49"/>
      <c r="M39" s="49"/>
      <c r="N39" s="49">
        <v>25000</v>
      </c>
      <c r="O39" s="49"/>
      <c r="P39" s="49"/>
      <c r="Q39" s="49"/>
      <c r="R39" s="49"/>
      <c r="S39" s="49"/>
      <c r="T39" s="49"/>
      <c r="U39" s="49"/>
      <c r="V39" s="49"/>
      <c r="W39" s="49"/>
      <c r="X39" s="40">
        <f t="shared" si="3"/>
        <v>25000</v>
      </c>
    </row>
    <row r="40" spans="1:24" s="8" customFormat="1" ht="63">
      <c r="A40" s="7"/>
      <c r="B40" s="283"/>
      <c r="C40" s="283"/>
      <c r="D40" s="289"/>
      <c r="E40" s="12" t="s">
        <v>19</v>
      </c>
      <c r="F40" s="57"/>
      <c r="G40" s="61"/>
      <c r="H40" s="214"/>
      <c r="I40" s="247">
        <v>3110</v>
      </c>
      <c r="J40" s="49">
        <v>85100</v>
      </c>
      <c r="K40" s="49"/>
      <c r="L40" s="49"/>
      <c r="M40" s="49"/>
      <c r="N40" s="49"/>
      <c r="O40" s="49"/>
      <c r="P40" s="49"/>
      <c r="Q40" s="49"/>
      <c r="R40" s="49"/>
      <c r="S40" s="49"/>
      <c r="T40" s="49"/>
      <c r="U40" s="49">
        <v>85100</v>
      </c>
      <c r="V40" s="49"/>
      <c r="W40" s="49">
        <v>84630</v>
      </c>
      <c r="X40" s="40">
        <f t="shared" si="3"/>
        <v>470</v>
      </c>
    </row>
    <row r="41" spans="1:24" s="8" customFormat="1" ht="63">
      <c r="A41" s="7"/>
      <c r="B41" s="283"/>
      <c r="C41" s="283"/>
      <c r="D41" s="289"/>
      <c r="E41" s="12" t="s">
        <v>645</v>
      </c>
      <c r="F41" s="57"/>
      <c r="G41" s="61"/>
      <c r="H41" s="214"/>
      <c r="I41" s="247">
        <v>3110</v>
      </c>
      <c r="J41" s="49">
        <v>9200</v>
      </c>
      <c r="K41" s="49"/>
      <c r="L41" s="49"/>
      <c r="M41" s="49"/>
      <c r="N41" s="49"/>
      <c r="O41" s="49"/>
      <c r="P41" s="49"/>
      <c r="Q41" s="49"/>
      <c r="R41" s="49"/>
      <c r="S41" s="49"/>
      <c r="T41" s="49"/>
      <c r="U41" s="49">
        <v>9200</v>
      </c>
      <c r="V41" s="49"/>
      <c r="W41" s="49">
        <v>9196</v>
      </c>
      <c r="X41" s="40">
        <f t="shared" si="3"/>
        <v>4</v>
      </c>
    </row>
    <row r="42" spans="1:24" s="8" customFormat="1" ht="15.75">
      <c r="A42" s="7"/>
      <c r="B42" s="283"/>
      <c r="C42" s="283"/>
      <c r="D42" s="289"/>
      <c r="E42" s="12" t="s">
        <v>646</v>
      </c>
      <c r="F42" s="57"/>
      <c r="G42" s="61"/>
      <c r="H42" s="214"/>
      <c r="I42" s="247">
        <v>3110</v>
      </c>
      <c r="J42" s="49">
        <v>8000</v>
      </c>
      <c r="K42" s="49"/>
      <c r="L42" s="49"/>
      <c r="M42" s="49"/>
      <c r="N42" s="49"/>
      <c r="O42" s="49"/>
      <c r="P42" s="49"/>
      <c r="Q42" s="49"/>
      <c r="R42" s="49"/>
      <c r="S42" s="49"/>
      <c r="T42" s="49"/>
      <c r="U42" s="49">
        <v>8000</v>
      </c>
      <c r="V42" s="49"/>
      <c r="W42" s="49">
        <v>6900</v>
      </c>
      <c r="X42" s="40">
        <f t="shared" si="3"/>
        <v>1100</v>
      </c>
    </row>
    <row r="43" spans="1:24" s="8" customFormat="1" ht="31.5">
      <c r="A43" s="7"/>
      <c r="B43" s="283"/>
      <c r="C43" s="283"/>
      <c r="D43" s="289"/>
      <c r="E43" s="31" t="s">
        <v>202</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283"/>
      <c r="C44" s="283"/>
      <c r="D44" s="289"/>
      <c r="E44" s="31" t="s">
        <v>405</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14"/>
      <c r="C45" s="314"/>
      <c r="D45" s="290"/>
      <c r="E45" s="31" t="s">
        <v>343</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294" t="s">
        <v>624</v>
      </c>
      <c r="E46" s="295"/>
      <c r="F46" s="196"/>
      <c r="G46" s="197"/>
      <c r="H46" s="215"/>
      <c r="I46" s="248"/>
      <c r="J46" s="198">
        <f aca="true" t="shared" si="8" ref="J46:W46">J47+J161+J304+J318+J342+J344+J361+J364+J371+J385+J393+J283+J313+J300+J297</f>
        <v>62105789.93999999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2001078</v>
      </c>
      <c r="W46" s="198">
        <f t="shared" si="8"/>
        <v>49587770.80999997</v>
      </c>
      <c r="X46" s="60">
        <f t="shared" si="3"/>
        <v>12518019.130000018</v>
      </c>
    </row>
    <row r="47" spans="2:24" ht="15.75">
      <c r="B47" s="291" t="s">
        <v>485</v>
      </c>
      <c r="C47" s="291" t="s">
        <v>330</v>
      </c>
      <c r="D47" s="288" t="s">
        <v>417</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22461344.52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-334922</v>
      </c>
      <c r="W47" s="185">
        <f t="shared" si="9"/>
        <v>20004229.60999999</v>
      </c>
      <c r="X47" s="184">
        <f t="shared" si="3"/>
        <v>2457114.9100000113</v>
      </c>
    </row>
    <row r="48" spans="2:24" ht="63">
      <c r="B48" s="292"/>
      <c r="C48" s="292"/>
      <c r="D48" s="289"/>
      <c r="E48" s="267" t="s">
        <v>918</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92"/>
      <c r="C49" s="292"/>
      <c r="D49" s="289"/>
      <c r="E49" s="272" t="s">
        <v>331</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92"/>
      <c r="C50" s="292"/>
      <c r="D50" s="289"/>
      <c r="E50" s="267" t="s">
        <v>955</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92"/>
      <c r="C51" s="292"/>
      <c r="D51" s="289"/>
      <c r="E51" s="268" t="s">
        <v>401</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92"/>
      <c r="C52" s="292"/>
      <c r="D52" s="289"/>
      <c r="E52" s="268" t="s">
        <v>402</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92"/>
      <c r="C53" s="292"/>
      <c r="D53" s="289"/>
      <c r="E53" s="268" t="s">
        <v>403</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92"/>
      <c r="C54" s="292"/>
      <c r="D54" s="289"/>
      <c r="E54" s="268" t="s">
        <v>404</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92"/>
      <c r="C55" s="292"/>
      <c r="D55" s="289"/>
      <c r="E55" s="268" t="s">
        <v>966</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92"/>
      <c r="C56" s="292"/>
      <c r="D56" s="289"/>
      <c r="E56" s="268" t="s">
        <v>933</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92"/>
      <c r="C57" s="292"/>
      <c r="D57" s="289"/>
      <c r="E57" s="268" t="s">
        <v>287</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92"/>
      <c r="C58" s="292"/>
      <c r="D58" s="289"/>
      <c r="E58" s="268" t="s">
        <v>559</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92"/>
      <c r="C59" s="292"/>
      <c r="D59" s="289"/>
      <c r="E59" s="268" t="s">
        <v>662</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92"/>
      <c r="C60" s="292"/>
      <c r="D60" s="289"/>
      <c r="E60" s="268" t="s">
        <v>663</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92"/>
      <c r="C61" s="292"/>
      <c r="D61" s="289"/>
      <c r="E61" s="268" t="s">
        <v>664</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92"/>
      <c r="C62" s="292"/>
      <c r="D62" s="289"/>
      <c r="E62" s="268" t="s">
        <v>13</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92"/>
      <c r="C63" s="292"/>
      <c r="D63" s="289"/>
      <c r="E63" s="268" t="s">
        <v>36</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92"/>
      <c r="C64" s="292"/>
      <c r="D64" s="289"/>
      <c r="E64" s="268" t="s">
        <v>37</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92"/>
      <c r="C65" s="292"/>
      <c r="D65" s="289"/>
      <c r="E65" s="268" t="s">
        <v>38</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92"/>
      <c r="C66" s="292"/>
      <c r="D66" s="289"/>
      <c r="E66" s="267" t="s">
        <v>39</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92"/>
      <c r="C67" s="292"/>
      <c r="D67" s="289"/>
      <c r="E67" s="273" t="s">
        <v>40</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92"/>
      <c r="C68" s="292"/>
      <c r="D68" s="289"/>
      <c r="E68" s="274" t="s">
        <v>41</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92"/>
      <c r="C69" s="292"/>
      <c r="D69" s="289"/>
      <c r="E69" s="273" t="s">
        <v>42</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92"/>
      <c r="C70" s="292"/>
      <c r="D70" s="289"/>
      <c r="E70" s="274" t="s">
        <v>637</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92"/>
      <c r="C71" s="292"/>
      <c r="D71" s="289"/>
      <c r="E71" s="274" t="s">
        <v>216</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92"/>
      <c r="C72" s="292"/>
      <c r="D72" s="289"/>
      <c r="E72" s="266" t="s">
        <v>169</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92"/>
      <c r="C73" s="292"/>
      <c r="D73" s="289"/>
      <c r="E73" s="273" t="s">
        <v>96</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92"/>
      <c r="C74" s="292"/>
      <c r="D74" s="289"/>
      <c r="E74" s="273" t="s">
        <v>97</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92"/>
      <c r="C75" s="292"/>
      <c r="D75" s="289"/>
      <c r="E75" s="273" t="s">
        <v>98</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92"/>
      <c r="C76" s="292"/>
      <c r="D76" s="289"/>
      <c r="E76" s="273" t="s">
        <v>525</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92"/>
      <c r="C77" s="292"/>
      <c r="D77" s="289"/>
      <c r="E77" s="273" t="s">
        <v>879</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92"/>
      <c r="C78" s="292"/>
      <c r="D78" s="289"/>
      <c r="E78" s="274" t="s">
        <v>880</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92"/>
      <c r="C79" s="292"/>
      <c r="D79" s="289"/>
      <c r="E79" s="274" t="s">
        <v>386</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92"/>
      <c r="C80" s="292"/>
      <c r="D80" s="289"/>
      <c r="E80" s="273" t="s">
        <v>387</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92"/>
      <c r="C81" s="292"/>
      <c r="D81" s="289"/>
      <c r="E81" s="31" t="s">
        <v>427</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92"/>
      <c r="C82" s="292"/>
      <c r="D82" s="289"/>
      <c r="E82" s="31" t="s">
        <v>368</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22969+22969+707.28</f>
        <v>46645.28</v>
      </c>
      <c r="X82" s="40">
        <f t="shared" si="10"/>
        <v>8354.720000000001</v>
      </c>
    </row>
    <row r="83" spans="2:24" ht="31.5">
      <c r="B83" s="292"/>
      <c r="C83" s="292"/>
      <c r="D83" s="289"/>
      <c r="E83" s="31" t="s">
        <v>919</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11900+10901+233592.1+3151.73+32773.1</f>
        <v>292317.93</v>
      </c>
      <c r="X83" s="40">
        <f t="shared" si="10"/>
        <v>57682.07000000001</v>
      </c>
    </row>
    <row r="84" spans="2:24" ht="15.75">
      <c r="B84" s="292"/>
      <c r="C84" s="292"/>
      <c r="D84" s="289"/>
      <c r="E84" s="31" t="s">
        <v>920</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92"/>
      <c r="C85" s="292"/>
      <c r="D85" s="289"/>
      <c r="E85" s="31" t="s">
        <v>348</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92"/>
      <c r="C86" s="292"/>
      <c r="D86" s="289"/>
      <c r="E86" s="31" t="s">
        <v>921</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92"/>
      <c r="C87" s="292"/>
      <c r="D87" s="289"/>
      <c r="E87" s="31" t="s">
        <v>922</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2151+4951.8+45748.5+716.83+45748.5</f>
        <v>99316.63</v>
      </c>
      <c r="X87" s="40">
        <f t="shared" si="10"/>
        <v>683.3699999999953</v>
      </c>
    </row>
    <row r="88" spans="2:24" ht="47.25">
      <c r="B88" s="292"/>
      <c r="C88" s="292"/>
      <c r="D88" s="289"/>
      <c r="E88" s="31" t="s">
        <v>808</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2556+72592+72592+72592+72592+1121.14+11003.14</f>
        <v>305048.28</v>
      </c>
      <c r="X88" s="40">
        <f t="shared" si="10"/>
        <v>1951.719999999972</v>
      </c>
    </row>
    <row r="89" spans="2:24" ht="47.25">
      <c r="B89" s="292"/>
      <c r="C89" s="292"/>
      <c r="D89" s="289"/>
      <c r="E89" s="31" t="s">
        <v>809</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f>28033.45</f>
        <v>28033.45</v>
      </c>
      <c r="X89" s="40">
        <f t="shared" si="10"/>
        <v>69966.55</v>
      </c>
    </row>
    <row r="90" spans="2:24" ht="47.25">
      <c r="B90" s="292"/>
      <c r="C90" s="292"/>
      <c r="D90" s="289"/>
      <c r="E90" s="31" t="s">
        <v>764</v>
      </c>
      <c r="F90" s="45"/>
      <c r="G90" s="46"/>
      <c r="H90" s="216"/>
      <c r="I90" s="249">
        <v>3132</v>
      </c>
      <c r="J90" s="9">
        <f>110000-28000</f>
        <v>82000</v>
      </c>
      <c r="K90" s="200"/>
      <c r="L90" s="200"/>
      <c r="M90" s="200"/>
      <c r="N90" s="200"/>
      <c r="O90" s="200">
        <v>10000</v>
      </c>
      <c r="P90" s="200"/>
      <c r="Q90" s="200">
        <v>100000</v>
      </c>
      <c r="R90" s="200"/>
      <c r="S90" s="200"/>
      <c r="T90" s="200"/>
      <c r="U90" s="200">
        <v>-28000</v>
      </c>
      <c r="V90" s="200"/>
      <c r="W90" s="49">
        <f>54225.36</f>
        <v>54225.36</v>
      </c>
      <c r="X90" s="40">
        <f t="shared" si="10"/>
        <v>27774.64</v>
      </c>
    </row>
    <row r="91" spans="2:24" ht="31.5">
      <c r="B91" s="292"/>
      <c r="C91" s="292"/>
      <c r="D91" s="289"/>
      <c r="E91" s="31" t="s">
        <v>765</v>
      </c>
      <c r="F91" s="45"/>
      <c r="G91" s="46"/>
      <c r="H91" s="216"/>
      <c r="I91" s="249">
        <v>3132</v>
      </c>
      <c r="J91" s="9">
        <f>4190000-1385000-125000-210000-185000-495000-100000-48202-20000</f>
        <v>1621798</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f>150000-100000-48202-20000</f>
        <v>-18202</v>
      </c>
      <c r="W91" s="49">
        <f>10732.8+21465.6+13537.02+3900+7800+52001.36+1950+49964.8+3230+6767.8+6665.8+8370.8+9690+3230+126165.65+7900+41176.8+19321.2</f>
        <v>393869.63</v>
      </c>
      <c r="X91" s="40">
        <f t="shared" si="10"/>
        <v>1227928.37</v>
      </c>
    </row>
    <row r="92" spans="2:24" ht="31.5">
      <c r="B92" s="292"/>
      <c r="C92" s="292"/>
      <c r="D92" s="289"/>
      <c r="E92" s="31" t="s">
        <v>863</v>
      </c>
      <c r="F92" s="45"/>
      <c r="G92" s="46"/>
      <c r="H92" s="216"/>
      <c r="I92" s="249">
        <v>3110</v>
      </c>
      <c r="J92" s="9">
        <f>60000-39000</f>
        <v>21000</v>
      </c>
      <c r="K92" s="200"/>
      <c r="L92" s="200"/>
      <c r="M92" s="200"/>
      <c r="N92" s="200"/>
      <c r="O92" s="200"/>
      <c r="P92" s="200"/>
      <c r="Q92" s="200"/>
      <c r="R92" s="200">
        <v>60000</v>
      </c>
      <c r="S92" s="200"/>
      <c r="T92" s="200"/>
      <c r="U92" s="200">
        <v>-39000</v>
      </c>
      <c r="V92" s="200"/>
      <c r="W92" s="49">
        <v>20592</v>
      </c>
      <c r="X92" s="40">
        <f t="shared" si="10"/>
        <v>408</v>
      </c>
    </row>
    <row r="93" spans="2:24" ht="31.5">
      <c r="B93" s="292"/>
      <c r="C93" s="292"/>
      <c r="D93" s="289"/>
      <c r="E93" s="31" t="s">
        <v>826</v>
      </c>
      <c r="F93" s="45"/>
      <c r="G93" s="46"/>
      <c r="H93" s="216"/>
      <c r="I93" s="249">
        <v>3110</v>
      </c>
      <c r="J93" s="9">
        <f>600000-119580-66478</f>
        <v>413942</v>
      </c>
      <c r="K93" s="200"/>
      <c r="L93" s="200"/>
      <c r="M93" s="200"/>
      <c r="N93" s="200"/>
      <c r="O93" s="200"/>
      <c r="P93" s="200"/>
      <c r="Q93" s="200"/>
      <c r="R93" s="200">
        <v>600000</v>
      </c>
      <c r="S93" s="200"/>
      <c r="T93" s="200"/>
      <c r="U93" s="200">
        <v>-119580</v>
      </c>
      <c r="V93" s="200">
        <v>-66478</v>
      </c>
      <c r="W93" s="49">
        <f>398342+15600</f>
        <v>413942</v>
      </c>
      <c r="X93" s="40">
        <f t="shared" si="10"/>
        <v>0</v>
      </c>
    </row>
    <row r="94" spans="2:24" ht="47.25">
      <c r="B94" s="292"/>
      <c r="C94" s="292"/>
      <c r="D94" s="289"/>
      <c r="E94" s="12" t="s">
        <v>924</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2"/>
      <c r="C95" s="292"/>
      <c r="D95" s="289"/>
      <c r="E95" s="12" t="s">
        <v>702</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2"/>
      <c r="C96" s="292"/>
      <c r="D96" s="289"/>
      <c r="E96" s="12" t="s">
        <v>703</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2"/>
      <c r="C97" s="292"/>
      <c r="D97" s="289"/>
      <c r="E97" s="12" t="s">
        <v>701</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2"/>
      <c r="C98" s="292"/>
      <c r="D98" s="289"/>
      <c r="E98" s="12" t="s">
        <v>378</v>
      </c>
      <c r="F98" s="45"/>
      <c r="G98" s="46"/>
      <c r="H98" s="216"/>
      <c r="I98" s="249">
        <v>3110</v>
      </c>
      <c r="J98" s="9">
        <f>40000-2000</f>
        <v>38000</v>
      </c>
      <c r="K98" s="200"/>
      <c r="L98" s="200"/>
      <c r="M98" s="200"/>
      <c r="N98" s="200"/>
      <c r="O98" s="200"/>
      <c r="P98" s="200"/>
      <c r="Q98" s="200">
        <v>40000</v>
      </c>
      <c r="R98" s="200"/>
      <c r="S98" s="200"/>
      <c r="T98" s="200"/>
      <c r="U98" s="200"/>
      <c r="V98" s="200">
        <v>-2000</v>
      </c>
      <c r="W98" s="49">
        <v>38000</v>
      </c>
      <c r="X98" s="40">
        <f t="shared" si="10"/>
        <v>0</v>
      </c>
    </row>
    <row r="99" spans="2:24" ht="47.25">
      <c r="B99" s="292"/>
      <c r="C99" s="292"/>
      <c r="D99" s="289"/>
      <c r="E99" s="31" t="s">
        <v>379</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92"/>
      <c r="C100" s="292"/>
      <c r="D100" s="289"/>
      <c r="E100" s="31" t="s">
        <v>931</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18131+345252+356417+94984+94984+1065</f>
        <v>910833</v>
      </c>
      <c r="X100" s="40">
        <f t="shared" si="10"/>
        <v>39167</v>
      </c>
    </row>
    <row r="101" spans="2:24" ht="63">
      <c r="B101" s="292"/>
      <c r="C101" s="292"/>
      <c r="D101" s="289"/>
      <c r="E101" s="31" t="s">
        <v>388</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2556+399344.4+167505.24+165058.8+8838+77876.76+1846+22795</f>
        <v>845820.2</v>
      </c>
      <c r="X101" s="40">
        <f t="shared" si="10"/>
        <v>1179.8000000000466</v>
      </c>
    </row>
    <row r="102" spans="2:24" ht="15.75" hidden="1">
      <c r="B102" s="292"/>
      <c r="C102" s="292"/>
      <c r="D102" s="289"/>
      <c r="E102" s="65" t="s">
        <v>389</v>
      </c>
      <c r="F102" s="49">
        <v>135450</v>
      </c>
      <c r="G102" s="18">
        <f>100%-((F102-H102)/F102)</f>
        <v>0.16242155777039502</v>
      </c>
      <c r="H102" s="218">
        <v>22000</v>
      </c>
      <c r="I102" s="249">
        <v>3132</v>
      </c>
      <c r="J102" s="66">
        <f>22000-22000</f>
        <v>0</v>
      </c>
      <c r="K102" s="200"/>
      <c r="L102" s="200"/>
      <c r="M102" s="200"/>
      <c r="N102" s="200"/>
      <c r="O102" s="200"/>
      <c r="P102" s="200"/>
      <c r="Q102" s="200">
        <v>22000</v>
      </c>
      <c r="R102" s="200"/>
      <c r="S102" s="200"/>
      <c r="T102" s="200"/>
      <c r="U102" s="200"/>
      <c r="V102" s="200">
        <v>-22000</v>
      </c>
      <c r="W102" s="49"/>
      <c r="X102" s="40">
        <f t="shared" si="10"/>
        <v>0</v>
      </c>
    </row>
    <row r="103" spans="2:24" ht="63">
      <c r="B103" s="292"/>
      <c r="C103" s="292"/>
      <c r="D103" s="289"/>
      <c r="E103" s="65" t="s">
        <v>827</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1292.4+3015.6+189232.72+189232.73+6039</f>
        <v>388812.45</v>
      </c>
      <c r="X103" s="40">
        <f t="shared" si="10"/>
        <v>11187.549999999988</v>
      </c>
    </row>
    <row r="104" spans="2:24" ht="47.25">
      <c r="B104" s="292"/>
      <c r="C104" s="292"/>
      <c r="D104" s="289"/>
      <c r="E104" s="67" t="s">
        <v>828</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2"/>
      <c r="C105" s="292"/>
      <c r="D105" s="289"/>
      <c r="E105" s="68" t="s">
        <v>829</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2"/>
      <c r="C106" s="292"/>
      <c r="D106" s="289"/>
      <c r="E106" s="67" t="s">
        <v>830</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f>9021.7</f>
        <v>9021.7</v>
      </c>
      <c r="X106" s="40">
        <f t="shared" si="10"/>
        <v>2978.2999999999993</v>
      </c>
    </row>
    <row r="107" spans="2:24" ht="47.25">
      <c r="B107" s="292"/>
      <c r="C107" s="292"/>
      <c r="D107" s="289"/>
      <c r="E107" s="67" t="s">
        <v>90</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2"/>
      <c r="C108" s="292"/>
      <c r="D108" s="289"/>
      <c r="E108" s="31" t="s">
        <v>91</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3278.4+96860.8+99860+52203.1+84881.3+2129</f>
        <v>339212.60000000003</v>
      </c>
      <c r="X108" s="40">
        <f t="shared" si="10"/>
        <v>29787.399999999965</v>
      </c>
    </row>
    <row r="109" spans="2:24" ht="31.5">
      <c r="B109" s="292"/>
      <c r="C109" s="292"/>
      <c r="D109" s="289"/>
      <c r="E109" s="31" t="s">
        <v>306</v>
      </c>
      <c r="F109" s="49"/>
      <c r="G109" s="18"/>
      <c r="H109" s="220"/>
      <c r="I109" s="249">
        <v>3132</v>
      </c>
      <c r="J109" s="21">
        <v>400000</v>
      </c>
      <c r="K109" s="200"/>
      <c r="L109" s="200"/>
      <c r="M109" s="200"/>
      <c r="N109" s="200"/>
      <c r="O109" s="200"/>
      <c r="P109" s="200"/>
      <c r="Q109" s="200"/>
      <c r="R109" s="200"/>
      <c r="S109" s="200">
        <v>400000</v>
      </c>
      <c r="T109" s="200"/>
      <c r="U109" s="200"/>
      <c r="V109" s="200"/>
      <c r="W109" s="49">
        <f>260522.64+20967+111652.56+5747.13</f>
        <v>398889.33</v>
      </c>
      <c r="X109" s="40">
        <f t="shared" si="10"/>
        <v>1110.6699999999837</v>
      </c>
    </row>
    <row r="110" spans="2:24" ht="78.75">
      <c r="B110" s="292"/>
      <c r="C110" s="292"/>
      <c r="D110" s="289"/>
      <c r="E110" s="31" t="s">
        <v>92</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21530+120000+32603.5+54982.5+1108</f>
        <v>230224</v>
      </c>
      <c r="X110" s="40">
        <f t="shared" si="10"/>
        <v>55276</v>
      </c>
    </row>
    <row r="111" spans="2:24" ht="31.5">
      <c r="B111" s="292"/>
      <c r="C111" s="292"/>
      <c r="D111" s="289"/>
      <c r="E111" s="31" t="s">
        <v>93</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f>
        <v>255835</v>
      </c>
      <c r="X111" s="40">
        <f t="shared" si="10"/>
        <v>14165</v>
      </c>
    </row>
    <row r="112" spans="2:24" ht="31.5">
      <c r="B112" s="292"/>
      <c r="C112" s="292"/>
      <c r="D112" s="289"/>
      <c r="E112" s="31" t="s">
        <v>113</v>
      </c>
      <c r="F112" s="49">
        <v>200000</v>
      </c>
      <c r="G112" s="18">
        <f t="shared" si="11"/>
        <v>1</v>
      </c>
      <c r="H112" s="220">
        <v>200000</v>
      </c>
      <c r="I112" s="249">
        <v>3132</v>
      </c>
      <c r="J112" s="49">
        <f>200000+304000-188922-145000</f>
        <v>170078</v>
      </c>
      <c r="K112" s="200"/>
      <c r="L112" s="200"/>
      <c r="M112" s="200"/>
      <c r="N112" s="200"/>
      <c r="O112" s="200"/>
      <c r="P112" s="200"/>
      <c r="Q112" s="200">
        <v>174000</v>
      </c>
      <c r="R112" s="200"/>
      <c r="S112" s="200">
        <v>304000</v>
      </c>
      <c r="T112" s="200"/>
      <c r="U112" s="200">
        <f>26000-20000</f>
        <v>6000</v>
      </c>
      <c r="V112" s="200">
        <f>20000-188922-145000</f>
        <v>-313922</v>
      </c>
      <c r="W112" s="49">
        <f>67956.5+20886.5+1959</f>
        <v>90802</v>
      </c>
      <c r="X112" s="40">
        <f t="shared" si="10"/>
        <v>79276</v>
      </c>
    </row>
    <row r="113" spans="2:24" ht="63">
      <c r="B113" s="292"/>
      <c r="C113" s="292"/>
      <c r="D113" s="289"/>
      <c r="E113" s="64" t="s">
        <v>114</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84665+60573+2400+101950.5+81021.5+2731.67+1108</f>
        <v>334449.67</v>
      </c>
      <c r="X113" s="40">
        <f t="shared" si="10"/>
        <v>37950.330000000016</v>
      </c>
    </row>
    <row r="114" spans="2:24" ht="47.25">
      <c r="B114" s="292"/>
      <c r="C114" s="292"/>
      <c r="D114" s="289"/>
      <c r="E114" s="64" t="s">
        <v>115</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2"/>
      <c r="C115" s="292"/>
      <c r="D115" s="289"/>
      <c r="E115" s="31" t="s">
        <v>265</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3780+96464+120258+57176</f>
        <v>277678</v>
      </c>
      <c r="X115" s="40">
        <f t="shared" si="10"/>
        <v>42322</v>
      </c>
    </row>
    <row r="116" spans="2:24" ht="75" customHeight="1">
      <c r="B116" s="292"/>
      <c r="C116" s="292"/>
      <c r="D116" s="289"/>
      <c r="E116" s="69" t="s">
        <v>266</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2340.59+5461.39+43457.68+18624.32+64400+1104.08+12546.83</f>
        <v>147934.88999999998</v>
      </c>
      <c r="X116" s="40">
        <f t="shared" si="10"/>
        <v>14065.110000000015</v>
      </c>
    </row>
    <row r="117" spans="2:24" ht="63">
      <c r="B117" s="292"/>
      <c r="C117" s="292"/>
      <c r="D117" s="289"/>
      <c r="E117" s="69" t="s">
        <v>278</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2468.52+5579.88+197173.06+198896.18+80846.54+20901+4374+86760.82</f>
        <v>597000</v>
      </c>
      <c r="X117" s="40">
        <f t="shared" si="10"/>
        <v>0</v>
      </c>
    </row>
    <row r="118" spans="2:24" ht="63">
      <c r="B118" s="292"/>
      <c r="C118" s="292"/>
      <c r="D118" s="289"/>
      <c r="E118" s="31" t="s">
        <v>176</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11822+140987.28+3100+59352.72+393332.52+168571.08+34551</f>
        <v>811716.6</v>
      </c>
      <c r="X118" s="40">
        <f t="shared" si="10"/>
        <v>45283.40000000002</v>
      </c>
    </row>
    <row r="119" spans="2:24" ht="63">
      <c r="B119" s="292"/>
      <c r="C119" s="292"/>
      <c r="D119" s="289"/>
      <c r="E119" s="31" t="s">
        <v>625</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18060+240789+240789+8699</f>
        <v>508337</v>
      </c>
      <c r="X119" s="40">
        <f t="shared" si="10"/>
        <v>21663</v>
      </c>
    </row>
    <row r="120" spans="2:24" ht="47.25">
      <c r="B120" s="292"/>
      <c r="C120" s="292"/>
      <c r="D120" s="289"/>
      <c r="E120" s="31" t="s">
        <v>626</v>
      </c>
      <c r="F120" s="49"/>
      <c r="G120" s="18"/>
      <c r="H120" s="220"/>
      <c r="I120" s="249">
        <v>3132</v>
      </c>
      <c r="J120" s="21">
        <f>300000+30000</f>
        <v>330000</v>
      </c>
      <c r="K120" s="200"/>
      <c r="L120" s="200"/>
      <c r="M120" s="200"/>
      <c r="N120" s="200"/>
      <c r="O120" s="200"/>
      <c r="P120" s="200"/>
      <c r="Q120" s="200">
        <v>244000</v>
      </c>
      <c r="R120" s="200"/>
      <c r="S120" s="200"/>
      <c r="T120" s="200"/>
      <c r="U120" s="200">
        <v>56000</v>
      </c>
      <c r="V120" s="200">
        <v>30000</v>
      </c>
      <c r="W120" s="49">
        <f>4118.06+140453.1+9608.79+164832.9+5367</f>
        <v>324379.85</v>
      </c>
      <c r="X120" s="40">
        <f t="shared" si="10"/>
        <v>5620.150000000023</v>
      </c>
    </row>
    <row r="121" spans="2:24" ht="47.25">
      <c r="B121" s="292"/>
      <c r="C121" s="292"/>
      <c r="D121" s="289"/>
      <c r="E121" s="31" t="s">
        <v>128</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3288+57651.9+134521.1+3400+984+22580</f>
        <v>222425</v>
      </c>
      <c r="X121" s="40">
        <f t="shared" si="10"/>
        <v>575</v>
      </c>
    </row>
    <row r="122" spans="2:24" ht="63">
      <c r="B122" s="292"/>
      <c r="C122" s="292"/>
      <c r="D122" s="289"/>
      <c r="E122" s="31" t="s">
        <v>598</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2"/>
      <c r="C123" s="292"/>
      <c r="D123" s="289"/>
      <c r="E123" s="31" t="s">
        <v>935</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2"/>
      <c r="C124" s="292"/>
      <c r="D124" s="289"/>
      <c r="E124" s="31" t="s">
        <v>812</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2"/>
      <c r="C125" s="292"/>
      <c r="D125" s="289"/>
      <c r="E125" s="31" t="s">
        <v>976</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2151+4839+236257+166839.68+88314.2+5000+12556+84441.52+5407</f>
        <v>605805.4</v>
      </c>
      <c r="X125" s="40">
        <f t="shared" si="10"/>
        <v>194.59999999997672</v>
      </c>
    </row>
    <row r="126" spans="2:24" ht="31.5">
      <c r="B126" s="292"/>
      <c r="C126" s="292"/>
      <c r="D126" s="289"/>
      <c r="E126" s="31" t="s">
        <v>977</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1915.2+1915.2-1915.2+4468.8+121392.6+1704+39338.4</f>
        <v>168819</v>
      </c>
      <c r="X126" s="40">
        <f t="shared" si="10"/>
        <v>31181</v>
      </c>
    </row>
    <row r="127" spans="2:24" ht="78.75">
      <c r="B127" s="292"/>
      <c r="C127" s="292"/>
      <c r="D127" s="289"/>
      <c r="E127" s="31" t="s">
        <v>978</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9270+116925.6+116925.6+710+3477</f>
        <v>247308.2</v>
      </c>
      <c r="X127" s="40">
        <f t="shared" si="10"/>
        <v>2691.7999999999884</v>
      </c>
    </row>
    <row r="128" spans="2:24" ht="47.25">
      <c r="B128" s="292"/>
      <c r="C128" s="292"/>
      <c r="D128" s="289"/>
      <c r="E128" s="31" t="s">
        <v>979</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23099-23099+131000+23099+146990.5+135563.45+151232.05+1108</f>
        <v>588993</v>
      </c>
      <c r="X128" s="40">
        <f t="shared" si="10"/>
        <v>49007</v>
      </c>
    </row>
    <row r="129" spans="2:24" ht="47.25">
      <c r="B129" s="292"/>
      <c r="C129" s="292"/>
      <c r="D129" s="289"/>
      <c r="E129" s="31" t="s">
        <v>209</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1518.82+1162.64+14272.8+495+15550.74</f>
        <v>33000</v>
      </c>
      <c r="X129" s="40">
        <f t="shared" si="10"/>
        <v>0</v>
      </c>
    </row>
    <row r="130" spans="2:24" ht="31.5">
      <c r="B130" s="292"/>
      <c r="C130" s="292"/>
      <c r="D130" s="289"/>
      <c r="E130" s="31" t="s">
        <v>210</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2"/>
      <c r="C131" s="292"/>
      <c r="D131" s="289"/>
      <c r="E131" s="31" t="s">
        <v>122</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5894+23135.28+890+29953.92</f>
        <v>59873.2</v>
      </c>
      <c r="X131" s="40">
        <f t="shared" si="10"/>
        <v>4126.800000000003</v>
      </c>
    </row>
    <row r="132" spans="2:24" ht="31.5">
      <c r="B132" s="292"/>
      <c r="C132" s="292"/>
      <c r="D132" s="289"/>
      <c r="E132" s="31" t="s">
        <v>937</v>
      </c>
      <c r="F132" s="49"/>
      <c r="G132" s="18"/>
      <c r="H132" s="220"/>
      <c r="I132" s="249">
        <v>3110</v>
      </c>
      <c r="J132" s="21">
        <f>400000-2320</f>
        <v>397680</v>
      </c>
      <c r="K132" s="49"/>
      <c r="L132" s="49"/>
      <c r="M132" s="49"/>
      <c r="N132" s="49"/>
      <c r="O132" s="49"/>
      <c r="P132" s="49"/>
      <c r="Q132" s="49"/>
      <c r="R132" s="49">
        <v>400000</v>
      </c>
      <c r="S132" s="49"/>
      <c r="T132" s="49"/>
      <c r="U132" s="49"/>
      <c r="V132" s="49">
        <v>-2320</v>
      </c>
      <c r="W132" s="49">
        <v>397680</v>
      </c>
      <c r="X132" s="40">
        <f t="shared" si="10"/>
        <v>0</v>
      </c>
    </row>
    <row r="133" spans="2:24" ht="47.25">
      <c r="B133" s="292"/>
      <c r="C133" s="292"/>
      <c r="D133" s="289"/>
      <c r="E133" s="31" t="s">
        <v>223</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f>102399.5+17647.2</f>
        <v>120046.7</v>
      </c>
      <c r="X133" s="40">
        <f t="shared" si="10"/>
        <v>42953.3</v>
      </c>
    </row>
    <row r="134" spans="2:24" ht="47.25">
      <c r="B134" s="292"/>
      <c r="C134" s="292"/>
      <c r="D134" s="289"/>
      <c r="E134" s="31" t="s">
        <v>337</v>
      </c>
      <c r="F134" s="49"/>
      <c r="G134" s="18"/>
      <c r="H134" s="220"/>
      <c r="I134" s="249">
        <v>3132</v>
      </c>
      <c r="J134" s="21">
        <v>83000</v>
      </c>
      <c r="K134" s="49"/>
      <c r="L134" s="49"/>
      <c r="M134" s="49"/>
      <c r="N134" s="49"/>
      <c r="O134" s="49"/>
      <c r="P134" s="49"/>
      <c r="Q134" s="49"/>
      <c r="R134" s="49"/>
      <c r="S134" s="49">
        <v>43000</v>
      </c>
      <c r="T134" s="49"/>
      <c r="U134" s="49">
        <v>40000</v>
      </c>
      <c r="V134" s="49"/>
      <c r="W134" s="49">
        <f>8323.48+426</f>
        <v>8749.48</v>
      </c>
      <c r="X134" s="40">
        <f t="shared" si="10"/>
        <v>74250.52</v>
      </c>
    </row>
    <row r="135" spans="2:24" ht="31.5">
      <c r="B135" s="292"/>
      <c r="C135" s="292"/>
      <c r="D135" s="289"/>
      <c r="E135" s="31" t="s">
        <v>860</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f>83608.56+33061.44+1795.46</f>
        <v>118465.46</v>
      </c>
      <c r="X135" s="40">
        <f t="shared" si="10"/>
        <v>18534.539999999994</v>
      </c>
    </row>
    <row r="136" spans="2:24" ht="47.25">
      <c r="B136" s="292"/>
      <c r="C136" s="292"/>
      <c r="D136" s="289"/>
      <c r="E136" s="31" t="s">
        <v>531</v>
      </c>
      <c r="F136" s="49"/>
      <c r="G136" s="18"/>
      <c r="H136" s="220"/>
      <c r="I136" s="249">
        <v>3132</v>
      </c>
      <c r="J136" s="21">
        <v>211000</v>
      </c>
      <c r="K136" s="49"/>
      <c r="L136" s="49"/>
      <c r="M136" s="49"/>
      <c r="N136" s="49"/>
      <c r="O136" s="49"/>
      <c r="P136" s="49"/>
      <c r="Q136" s="49"/>
      <c r="R136" s="49"/>
      <c r="S136" s="21">
        <v>211000</v>
      </c>
      <c r="T136" s="49"/>
      <c r="U136" s="49"/>
      <c r="V136" s="49"/>
      <c r="W136" s="49">
        <f>65293.8+142473.2</f>
        <v>207767</v>
      </c>
      <c r="X136" s="40">
        <f t="shared" si="10"/>
        <v>3233</v>
      </c>
    </row>
    <row r="137" spans="2:24" ht="47.25">
      <c r="B137" s="292"/>
      <c r="C137" s="292"/>
      <c r="D137" s="289"/>
      <c r="E137" s="31" t="s">
        <v>532</v>
      </c>
      <c r="F137" s="49"/>
      <c r="G137" s="18"/>
      <c r="H137" s="220"/>
      <c r="I137" s="249">
        <v>3132</v>
      </c>
      <c r="J137" s="21">
        <v>284000</v>
      </c>
      <c r="K137" s="49"/>
      <c r="L137" s="49"/>
      <c r="M137" s="49"/>
      <c r="N137" s="49"/>
      <c r="O137" s="49"/>
      <c r="P137" s="49"/>
      <c r="Q137" s="49"/>
      <c r="R137" s="49"/>
      <c r="S137" s="21">
        <v>284000</v>
      </c>
      <c r="T137" s="49"/>
      <c r="U137" s="49"/>
      <c r="V137" s="49"/>
      <c r="W137" s="49">
        <f>924+138752.1+138752.1+4284</f>
        <v>282712.2</v>
      </c>
      <c r="X137" s="40">
        <f t="shared" si="10"/>
        <v>1287.7999999999884</v>
      </c>
    </row>
    <row r="138" spans="2:24" ht="31.5">
      <c r="B138" s="292"/>
      <c r="C138" s="292"/>
      <c r="D138" s="289"/>
      <c r="E138" s="31" t="s">
        <v>585</v>
      </c>
      <c r="F138" s="49"/>
      <c r="G138" s="18"/>
      <c r="H138" s="220"/>
      <c r="I138" s="249">
        <v>3132</v>
      </c>
      <c r="J138" s="21">
        <v>756000</v>
      </c>
      <c r="K138" s="49"/>
      <c r="L138" s="49"/>
      <c r="M138" s="49"/>
      <c r="N138" s="49"/>
      <c r="O138" s="49"/>
      <c r="P138" s="49"/>
      <c r="Q138" s="49"/>
      <c r="R138" s="49"/>
      <c r="S138" s="21">
        <v>756000</v>
      </c>
      <c r="T138" s="49"/>
      <c r="U138" s="49"/>
      <c r="V138" s="49"/>
      <c r="W138" s="49">
        <f>372700+378539.67</f>
        <v>751239.6699999999</v>
      </c>
      <c r="X138" s="40">
        <f t="shared" si="10"/>
        <v>4760.3300000000745</v>
      </c>
    </row>
    <row r="139" spans="2:24" ht="31.5">
      <c r="B139" s="292"/>
      <c r="C139" s="292"/>
      <c r="D139" s="289"/>
      <c r="E139" s="31" t="s">
        <v>523</v>
      </c>
      <c r="F139" s="49"/>
      <c r="G139" s="18"/>
      <c r="H139" s="220"/>
      <c r="I139" s="249">
        <v>3132</v>
      </c>
      <c r="J139" s="21">
        <v>352000</v>
      </c>
      <c r="K139" s="49"/>
      <c r="L139" s="49"/>
      <c r="M139" s="49"/>
      <c r="N139" s="49"/>
      <c r="O139" s="49"/>
      <c r="P139" s="49"/>
      <c r="Q139" s="49"/>
      <c r="R139" s="49"/>
      <c r="S139" s="21">
        <v>352000</v>
      </c>
      <c r="T139" s="49"/>
      <c r="U139" s="49"/>
      <c r="V139" s="49"/>
      <c r="W139" s="49">
        <f>241058.16+103310.64</f>
        <v>344368.8</v>
      </c>
      <c r="X139" s="40">
        <f t="shared" si="10"/>
        <v>7631.200000000012</v>
      </c>
    </row>
    <row r="140" spans="2:24" ht="31.5">
      <c r="B140" s="292"/>
      <c r="C140" s="292"/>
      <c r="D140" s="289"/>
      <c r="E140" s="31" t="s">
        <v>524</v>
      </c>
      <c r="F140" s="49"/>
      <c r="G140" s="18"/>
      <c r="H140" s="220"/>
      <c r="I140" s="249">
        <v>3132</v>
      </c>
      <c r="J140" s="21">
        <v>498000</v>
      </c>
      <c r="K140" s="49"/>
      <c r="L140" s="49"/>
      <c r="M140" s="49"/>
      <c r="N140" s="49"/>
      <c r="O140" s="49"/>
      <c r="P140" s="49"/>
      <c r="Q140" s="49"/>
      <c r="R140" s="49"/>
      <c r="S140" s="21">
        <v>498000</v>
      </c>
      <c r="T140" s="49"/>
      <c r="U140" s="49"/>
      <c r="V140" s="49"/>
      <c r="W140" s="49">
        <f>240677.5+245164.23+6645.6</f>
        <v>492487.32999999996</v>
      </c>
      <c r="X140" s="40">
        <f t="shared" si="10"/>
        <v>5512.670000000042</v>
      </c>
    </row>
    <row r="141" spans="2:24" ht="31.5">
      <c r="B141" s="292"/>
      <c r="C141" s="292"/>
      <c r="D141" s="289"/>
      <c r="E141" s="31" t="s">
        <v>654</v>
      </c>
      <c r="F141" s="49"/>
      <c r="G141" s="18"/>
      <c r="H141" s="220"/>
      <c r="I141" s="249">
        <v>3132</v>
      </c>
      <c r="J141" s="21">
        <v>207000</v>
      </c>
      <c r="K141" s="49"/>
      <c r="L141" s="49"/>
      <c r="M141" s="49"/>
      <c r="N141" s="49"/>
      <c r="O141" s="49"/>
      <c r="P141" s="49"/>
      <c r="Q141" s="49"/>
      <c r="R141" s="49"/>
      <c r="S141" s="21">
        <v>207000</v>
      </c>
      <c r="T141" s="49"/>
      <c r="U141" s="49"/>
      <c r="V141" s="49"/>
      <c r="W141" s="49">
        <f>133784.28+11823+2955+58436.12</f>
        <v>206998.4</v>
      </c>
      <c r="X141" s="40">
        <f t="shared" si="10"/>
        <v>1.6000000000058208</v>
      </c>
    </row>
    <row r="142" spans="2:24" ht="47.25">
      <c r="B142" s="292"/>
      <c r="C142" s="292"/>
      <c r="D142" s="289"/>
      <c r="E142" s="31" t="s">
        <v>655</v>
      </c>
      <c r="F142" s="49"/>
      <c r="G142" s="18"/>
      <c r="H142" s="220"/>
      <c r="I142" s="249">
        <v>3132</v>
      </c>
      <c r="J142" s="21">
        <v>86000</v>
      </c>
      <c r="K142" s="49"/>
      <c r="L142" s="49"/>
      <c r="M142" s="49"/>
      <c r="N142" s="49"/>
      <c r="O142" s="49"/>
      <c r="P142" s="49"/>
      <c r="Q142" s="49"/>
      <c r="R142" s="49"/>
      <c r="S142" s="21">
        <v>86000</v>
      </c>
      <c r="T142" s="49"/>
      <c r="U142" s="49"/>
      <c r="V142" s="49"/>
      <c r="W142" s="49">
        <f>46981.2+37796.8</f>
        <v>84778</v>
      </c>
      <c r="X142" s="40">
        <f t="shared" si="10"/>
        <v>1222</v>
      </c>
    </row>
    <row r="143" spans="2:24" ht="47.25">
      <c r="B143" s="292"/>
      <c r="C143" s="292"/>
      <c r="D143" s="289"/>
      <c r="E143" s="31" t="s">
        <v>656</v>
      </c>
      <c r="F143" s="49"/>
      <c r="G143" s="18"/>
      <c r="H143" s="220"/>
      <c r="I143" s="249">
        <v>3132</v>
      </c>
      <c r="J143" s="21">
        <v>212000</v>
      </c>
      <c r="K143" s="49"/>
      <c r="L143" s="49"/>
      <c r="M143" s="49"/>
      <c r="N143" s="49"/>
      <c r="O143" s="49"/>
      <c r="P143" s="49"/>
      <c r="Q143" s="49"/>
      <c r="R143" s="49"/>
      <c r="S143" s="21">
        <v>212000</v>
      </c>
      <c r="T143" s="49"/>
      <c r="U143" s="49"/>
      <c r="V143" s="49"/>
      <c r="W143" s="49">
        <f>137223.24+58809.96+11823+1102</f>
        <v>208958.19999999998</v>
      </c>
      <c r="X143" s="40">
        <f t="shared" si="10"/>
        <v>3041.8000000000175</v>
      </c>
    </row>
    <row r="144" spans="2:24" ht="31.5">
      <c r="B144" s="292"/>
      <c r="C144" s="292"/>
      <c r="D144" s="289"/>
      <c r="E144" s="31" t="s">
        <v>657</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138625.9+1200+59411.1+2661.16+60753+2655.84+25800</f>
        <v>291107.00000000006</v>
      </c>
      <c r="X144" s="40">
        <f t="shared" si="10"/>
        <v>1892.9999999999418</v>
      </c>
    </row>
    <row r="145" spans="2:24" ht="47.25">
      <c r="B145" s="292"/>
      <c r="C145" s="292"/>
      <c r="D145" s="289"/>
      <c r="E145" s="31" t="s">
        <v>658</v>
      </c>
      <c r="F145" s="49"/>
      <c r="G145" s="18"/>
      <c r="H145" s="220"/>
      <c r="I145" s="249">
        <v>3132</v>
      </c>
      <c r="J145" s="21">
        <v>52000</v>
      </c>
      <c r="K145" s="49"/>
      <c r="L145" s="49"/>
      <c r="M145" s="49"/>
      <c r="N145" s="49"/>
      <c r="O145" s="49"/>
      <c r="P145" s="49"/>
      <c r="Q145" s="49"/>
      <c r="R145" s="49"/>
      <c r="S145" s="21">
        <v>52000</v>
      </c>
      <c r="T145" s="49"/>
      <c r="U145" s="49"/>
      <c r="V145" s="49"/>
      <c r="W145" s="49">
        <f>25535+25535+892</f>
        <v>51962</v>
      </c>
      <c r="X145" s="40">
        <f aca="true" t="shared" si="12" ref="X145:X208">J145-W145</f>
        <v>38</v>
      </c>
    </row>
    <row r="146" spans="2:24" ht="31.5">
      <c r="B146" s="292"/>
      <c r="C146" s="292"/>
      <c r="D146" s="289"/>
      <c r="E146" s="31" t="s">
        <v>659</v>
      </c>
      <c r="F146" s="49"/>
      <c r="G146" s="18"/>
      <c r="H146" s="220"/>
      <c r="I146" s="249">
        <v>3132</v>
      </c>
      <c r="J146" s="21">
        <v>298000</v>
      </c>
      <c r="K146" s="49"/>
      <c r="L146" s="49"/>
      <c r="M146" s="49"/>
      <c r="N146" s="49"/>
      <c r="O146" s="49"/>
      <c r="P146" s="49"/>
      <c r="Q146" s="49"/>
      <c r="R146" s="49"/>
      <c r="S146" s="21">
        <v>298000</v>
      </c>
      <c r="T146" s="49"/>
      <c r="U146" s="49"/>
      <c r="V146" s="49"/>
      <c r="W146" s="49">
        <f>203934.5+87400.5+1635.9</f>
        <v>292970.9</v>
      </c>
      <c r="X146" s="40">
        <f t="shared" si="12"/>
        <v>5029.099999999977</v>
      </c>
    </row>
    <row r="147" spans="2:24" ht="31.5">
      <c r="B147" s="292"/>
      <c r="C147" s="292"/>
      <c r="D147" s="289"/>
      <c r="E147" s="31" t="s">
        <v>660</v>
      </c>
      <c r="F147" s="49"/>
      <c r="G147" s="18"/>
      <c r="H147" s="220"/>
      <c r="I147" s="249">
        <v>3132</v>
      </c>
      <c r="J147" s="21">
        <v>306000</v>
      </c>
      <c r="K147" s="49"/>
      <c r="L147" s="49"/>
      <c r="M147" s="49"/>
      <c r="N147" s="49"/>
      <c r="O147" s="49"/>
      <c r="P147" s="49"/>
      <c r="Q147" s="49"/>
      <c r="R147" s="49"/>
      <c r="S147" s="21">
        <v>306000</v>
      </c>
      <c r="T147" s="49"/>
      <c r="U147" s="49"/>
      <c r="V147" s="49"/>
      <c r="W147" s="49">
        <f>206124.1+93827.9</f>
        <v>299952</v>
      </c>
      <c r="X147" s="40">
        <f t="shared" si="12"/>
        <v>6048</v>
      </c>
    </row>
    <row r="148" spans="2:24" ht="31.5">
      <c r="B148" s="292"/>
      <c r="C148" s="292"/>
      <c r="D148" s="289"/>
      <c r="E148" s="31" t="s">
        <v>661</v>
      </c>
      <c r="F148" s="49"/>
      <c r="G148" s="18"/>
      <c r="H148" s="220"/>
      <c r="I148" s="249">
        <v>3132</v>
      </c>
      <c r="J148" s="21">
        <v>250000</v>
      </c>
      <c r="K148" s="49"/>
      <c r="L148" s="49"/>
      <c r="M148" s="49"/>
      <c r="N148" s="49"/>
      <c r="O148" s="49"/>
      <c r="P148" s="49"/>
      <c r="Q148" s="49"/>
      <c r="R148" s="49"/>
      <c r="S148" s="21">
        <v>250000</v>
      </c>
      <c r="T148" s="49"/>
      <c r="U148" s="49"/>
      <c r="V148" s="49"/>
      <c r="W148" s="49">
        <f>124415+120971</f>
        <v>245386</v>
      </c>
      <c r="X148" s="40">
        <f t="shared" si="12"/>
        <v>4614</v>
      </c>
    </row>
    <row r="149" spans="2:24" ht="31.5">
      <c r="B149" s="292"/>
      <c r="C149" s="292"/>
      <c r="D149" s="289"/>
      <c r="E149" s="31" t="s">
        <v>47</v>
      </c>
      <c r="F149" s="49"/>
      <c r="G149" s="18"/>
      <c r="H149" s="220"/>
      <c r="I149" s="249">
        <v>3132</v>
      </c>
      <c r="J149" s="21">
        <v>398000</v>
      </c>
      <c r="K149" s="49"/>
      <c r="L149" s="49"/>
      <c r="M149" s="49"/>
      <c r="N149" s="49"/>
      <c r="O149" s="49"/>
      <c r="P149" s="49"/>
      <c r="Q149" s="49"/>
      <c r="R149" s="49"/>
      <c r="S149" s="21">
        <v>398000</v>
      </c>
      <c r="T149" s="49"/>
      <c r="U149" s="49"/>
      <c r="V149" s="49"/>
      <c r="W149" s="49">
        <f>21640+261225.58+111952.82</f>
        <v>394818.39999999997</v>
      </c>
      <c r="X149" s="40">
        <f t="shared" si="12"/>
        <v>3181.600000000035</v>
      </c>
    </row>
    <row r="150" spans="2:24" ht="47.25">
      <c r="B150" s="292"/>
      <c r="C150" s="292"/>
      <c r="D150" s="289"/>
      <c r="E150" s="31" t="s">
        <v>48</v>
      </c>
      <c r="F150" s="49"/>
      <c r="G150" s="18"/>
      <c r="H150" s="220"/>
      <c r="I150" s="249">
        <v>3132</v>
      </c>
      <c r="J150" s="21">
        <v>112000</v>
      </c>
      <c r="K150" s="49"/>
      <c r="L150" s="49"/>
      <c r="M150" s="49"/>
      <c r="N150" s="49"/>
      <c r="O150" s="49"/>
      <c r="P150" s="49"/>
      <c r="Q150" s="49"/>
      <c r="R150" s="49"/>
      <c r="S150" s="21">
        <v>112000</v>
      </c>
      <c r="T150" s="49"/>
      <c r="U150" s="49"/>
      <c r="V150" s="49"/>
      <c r="W150" s="49">
        <f>29844</f>
        <v>29844</v>
      </c>
      <c r="X150" s="40">
        <f t="shared" si="12"/>
        <v>82156</v>
      </c>
    </row>
    <row r="151" spans="2:24" ht="31.5">
      <c r="B151" s="292"/>
      <c r="C151" s="292"/>
      <c r="D151" s="289"/>
      <c r="E151" s="31" t="s">
        <v>49</v>
      </c>
      <c r="F151" s="49"/>
      <c r="G151" s="18"/>
      <c r="H151" s="220"/>
      <c r="I151" s="249">
        <v>3132</v>
      </c>
      <c r="J151" s="21">
        <v>121000</v>
      </c>
      <c r="K151" s="49"/>
      <c r="L151" s="49"/>
      <c r="M151" s="49"/>
      <c r="N151" s="49"/>
      <c r="O151" s="49"/>
      <c r="P151" s="49"/>
      <c r="Q151" s="49"/>
      <c r="R151" s="49"/>
      <c r="S151" s="21">
        <v>121000</v>
      </c>
      <c r="T151" s="49"/>
      <c r="U151" s="49"/>
      <c r="V151" s="49"/>
      <c r="W151" s="49">
        <f>97621+1331.97</f>
        <v>98952.97</v>
      </c>
      <c r="X151" s="40">
        <f t="shared" si="12"/>
        <v>22047.03</v>
      </c>
    </row>
    <row r="152" spans="2:24" ht="15.75">
      <c r="B152" s="292"/>
      <c r="C152" s="292"/>
      <c r="D152" s="289"/>
      <c r="E152" s="31" t="s">
        <v>393</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92"/>
      <c r="C153" s="292"/>
      <c r="D153" s="289"/>
      <c r="E153" s="31" t="s">
        <v>408</v>
      </c>
      <c r="F153" s="49"/>
      <c r="G153" s="18"/>
      <c r="H153" s="220"/>
      <c r="I153" s="249">
        <v>3132</v>
      </c>
      <c r="J153" s="21">
        <v>148750</v>
      </c>
      <c r="K153" s="49"/>
      <c r="L153" s="49"/>
      <c r="M153" s="49"/>
      <c r="N153" s="49"/>
      <c r="O153" s="49"/>
      <c r="P153" s="49"/>
      <c r="Q153" s="49"/>
      <c r="R153" s="49"/>
      <c r="S153" s="49"/>
      <c r="T153" s="49">
        <v>148750</v>
      </c>
      <c r="U153" s="49"/>
      <c r="V153" s="49"/>
      <c r="W153" s="49">
        <f>101678.5+43576.5+2707</f>
        <v>147962</v>
      </c>
      <c r="X153" s="40">
        <f t="shared" si="12"/>
        <v>788</v>
      </c>
    </row>
    <row r="154" spans="2:24" ht="47.25">
      <c r="B154" s="292"/>
      <c r="C154" s="292"/>
      <c r="D154" s="289"/>
      <c r="E154" s="31" t="s">
        <v>407</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48856.76+20938.6+1041</f>
        <v>70836.36</v>
      </c>
      <c r="X154" s="40">
        <f t="shared" si="12"/>
        <v>9163.64</v>
      </c>
    </row>
    <row r="155" spans="2:24" ht="31.5">
      <c r="B155" s="292"/>
      <c r="C155" s="292"/>
      <c r="D155" s="289"/>
      <c r="E155" s="31" t="s">
        <v>342</v>
      </c>
      <c r="F155" s="49"/>
      <c r="G155" s="18"/>
      <c r="H155" s="220"/>
      <c r="I155" s="249">
        <v>3132</v>
      </c>
      <c r="J155" s="21">
        <v>326000</v>
      </c>
      <c r="K155" s="49"/>
      <c r="L155" s="49"/>
      <c r="M155" s="49"/>
      <c r="N155" s="49"/>
      <c r="O155" s="49"/>
      <c r="P155" s="49"/>
      <c r="Q155" s="49"/>
      <c r="R155" s="49"/>
      <c r="S155" s="49"/>
      <c r="T155" s="49">
        <v>326000</v>
      </c>
      <c r="U155" s="49"/>
      <c r="V155" s="49"/>
      <c r="W155" s="49">
        <f>205872.8+88231.2</f>
        <v>294104</v>
      </c>
      <c r="X155" s="40">
        <f t="shared" si="12"/>
        <v>31896</v>
      </c>
    </row>
    <row r="156" spans="2:24" ht="31.5">
      <c r="B156" s="292"/>
      <c r="C156" s="292"/>
      <c r="D156" s="289"/>
      <c r="E156" s="31" t="s">
        <v>409</v>
      </c>
      <c r="F156" s="49"/>
      <c r="G156" s="18"/>
      <c r="H156" s="220"/>
      <c r="I156" s="249">
        <v>3132</v>
      </c>
      <c r="J156" s="21">
        <v>70000</v>
      </c>
      <c r="K156" s="49"/>
      <c r="L156" s="49"/>
      <c r="M156" s="49"/>
      <c r="N156" s="49"/>
      <c r="O156" s="49"/>
      <c r="P156" s="49"/>
      <c r="Q156" s="49"/>
      <c r="R156" s="49"/>
      <c r="S156" s="49"/>
      <c r="T156" s="49">
        <v>70000</v>
      </c>
      <c r="U156" s="49"/>
      <c r="V156" s="49"/>
      <c r="W156" s="49">
        <v>48072.36</v>
      </c>
      <c r="X156" s="40">
        <f t="shared" si="12"/>
        <v>21927.64</v>
      </c>
    </row>
    <row r="157" spans="2:24" ht="47.25">
      <c r="B157" s="292"/>
      <c r="C157" s="292"/>
      <c r="D157" s="289"/>
      <c r="E157" s="31" t="s">
        <v>410</v>
      </c>
      <c r="F157" s="49"/>
      <c r="G157" s="18"/>
      <c r="H157" s="220"/>
      <c r="I157" s="249">
        <v>3132</v>
      </c>
      <c r="J157" s="21">
        <v>68750</v>
      </c>
      <c r="K157" s="49"/>
      <c r="L157" s="49"/>
      <c r="M157" s="49"/>
      <c r="N157" s="49"/>
      <c r="O157" s="49"/>
      <c r="P157" s="49"/>
      <c r="Q157" s="49"/>
      <c r="R157" s="49"/>
      <c r="S157" s="49"/>
      <c r="T157" s="49">
        <v>68750</v>
      </c>
      <c r="U157" s="49"/>
      <c r="V157" s="49"/>
      <c r="W157" s="49">
        <f>28389.5+28389.5+994.2</f>
        <v>57773.2</v>
      </c>
      <c r="X157" s="40">
        <f t="shared" si="12"/>
        <v>10976.800000000003</v>
      </c>
    </row>
    <row r="158" spans="2:24" ht="31.5">
      <c r="B158" s="292"/>
      <c r="C158" s="292"/>
      <c r="D158" s="289"/>
      <c r="E158" s="31" t="s">
        <v>650</v>
      </c>
      <c r="F158" s="49"/>
      <c r="G158" s="18"/>
      <c r="H158" s="220"/>
      <c r="I158" s="249">
        <v>3110</v>
      </c>
      <c r="J158" s="21">
        <v>39000</v>
      </c>
      <c r="K158" s="49"/>
      <c r="L158" s="49"/>
      <c r="M158" s="49"/>
      <c r="N158" s="49"/>
      <c r="O158" s="49"/>
      <c r="P158" s="49"/>
      <c r="Q158" s="49"/>
      <c r="R158" s="49"/>
      <c r="S158" s="49"/>
      <c r="T158" s="49"/>
      <c r="U158" s="49">
        <v>39000</v>
      </c>
      <c r="V158" s="49"/>
      <c r="W158" s="49">
        <v>39000</v>
      </c>
      <c r="X158" s="40">
        <f t="shared" si="12"/>
        <v>0</v>
      </c>
    </row>
    <row r="159" spans="2:24" ht="31.5">
      <c r="B159" s="292"/>
      <c r="C159" s="292"/>
      <c r="D159" s="289"/>
      <c r="E159" s="31" t="s">
        <v>649</v>
      </c>
      <c r="F159" s="49"/>
      <c r="G159" s="18"/>
      <c r="H159" s="220"/>
      <c r="I159" s="249">
        <v>3110</v>
      </c>
      <c r="J159" s="21">
        <v>187000</v>
      </c>
      <c r="K159" s="49"/>
      <c r="L159" s="49"/>
      <c r="M159" s="49"/>
      <c r="N159" s="49"/>
      <c r="O159" s="49"/>
      <c r="P159" s="49"/>
      <c r="Q159" s="49"/>
      <c r="R159" s="49"/>
      <c r="S159" s="49"/>
      <c r="T159" s="49"/>
      <c r="U159" s="49">
        <v>187000</v>
      </c>
      <c r="V159" s="49"/>
      <c r="W159" s="49">
        <f>185000</f>
        <v>185000</v>
      </c>
      <c r="X159" s="40">
        <f t="shared" si="12"/>
        <v>2000</v>
      </c>
    </row>
    <row r="160" spans="2:24" ht="47.25">
      <c r="B160" s="292"/>
      <c r="C160" s="292"/>
      <c r="D160" s="290"/>
      <c r="E160" s="31" t="s">
        <v>203</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2263.55+4401.36+880.27+76908.3+32960.7</f>
        <v>117414.18000000001</v>
      </c>
      <c r="X160" s="40">
        <f t="shared" si="12"/>
        <v>2585.8199999999924</v>
      </c>
    </row>
    <row r="161" spans="2:24" ht="15.75">
      <c r="B161" s="291" t="s">
        <v>486</v>
      </c>
      <c r="C161" s="291" t="s">
        <v>353</v>
      </c>
      <c r="D161" s="288" t="s">
        <v>352</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282+J256+J257+J258+J259+J260+J228+J253+J251+J266+J267+J268+J269+J270+J271+J272+J273+J261+J262+J263+J264+J265+J274+J275+J276+J277+J196+J278+J279+J214+J222+J281+J280</f>
        <v>23468834.77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282+K256+K257+K258+K259+K260+K228+K253+K251+K266+K267+K268+K269+K270+K271+K272+K273+K261+K262+K263+K264+K265+K274+K275+K276+K277+K196+K278+K279+K214+K222+K281+K280</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1974000</v>
      </c>
      <c r="W161" s="185">
        <f t="shared" si="13"/>
        <v>19490935.849999998</v>
      </c>
      <c r="X161" s="184">
        <f t="shared" si="12"/>
        <v>3977898.920000002</v>
      </c>
    </row>
    <row r="162" spans="2:24" ht="78.75">
      <c r="B162" s="292"/>
      <c r="C162" s="292"/>
      <c r="D162" s="289"/>
      <c r="E162" s="266" t="s">
        <v>204</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2"/>
      <c r="C163" s="292"/>
      <c r="D163" s="289"/>
      <c r="E163" s="267" t="s">
        <v>821</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2"/>
      <c r="C164" s="292"/>
      <c r="D164" s="289"/>
      <c r="E164" s="268" t="s">
        <v>282</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2"/>
      <c r="C165" s="292"/>
      <c r="D165" s="289"/>
      <c r="E165" s="269" t="s">
        <v>283</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2"/>
      <c r="C166" s="292"/>
      <c r="D166" s="289"/>
      <c r="E166" s="270" t="s">
        <v>499</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2"/>
      <c r="C167" s="292"/>
      <c r="D167" s="289"/>
      <c r="E167" s="270" t="s">
        <v>500</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2"/>
      <c r="C168" s="292"/>
      <c r="D168" s="289"/>
      <c r="E168" s="270" t="s">
        <v>501</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2"/>
      <c r="C169" s="292"/>
      <c r="D169" s="289"/>
      <c r="E169" s="270" t="s">
        <v>502</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2"/>
      <c r="C170" s="292"/>
      <c r="D170" s="289"/>
      <c r="E170" s="270" t="s">
        <v>24</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2"/>
      <c r="C171" s="292"/>
      <c r="D171" s="289"/>
      <c r="E171" s="270" t="s">
        <v>25</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2"/>
      <c r="C172" s="292"/>
      <c r="D172" s="289"/>
      <c r="E172" s="267" t="s">
        <v>686</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2"/>
      <c r="C173" s="292"/>
      <c r="D173" s="289"/>
      <c r="E173" s="271" t="s">
        <v>687</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2"/>
      <c r="C174" s="292"/>
      <c r="D174" s="289"/>
      <c r="E174" s="272" t="s">
        <v>688</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2"/>
      <c r="C175" s="292"/>
      <c r="D175" s="289"/>
      <c r="E175" s="272" t="s">
        <v>689</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2"/>
      <c r="C176" s="292"/>
      <c r="D176" s="289"/>
      <c r="E176" s="267" t="s">
        <v>690</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2"/>
      <c r="C177" s="292"/>
      <c r="D177" s="289"/>
      <c r="E177" s="268" t="s">
        <v>691</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2"/>
      <c r="C178" s="292"/>
      <c r="D178" s="289"/>
      <c r="E178" s="268" t="s">
        <v>692</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2"/>
      <c r="C179" s="292"/>
      <c r="D179" s="289"/>
      <c r="E179" s="268" t="s">
        <v>693</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2"/>
      <c r="C180" s="292"/>
      <c r="D180" s="289"/>
      <c r="E180" s="268" t="s">
        <v>694</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2"/>
      <c r="C181" s="292"/>
      <c r="D181" s="289"/>
      <c r="E181" s="267" t="s">
        <v>34</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2"/>
      <c r="C182" s="292"/>
      <c r="D182" s="289"/>
      <c r="E182" s="267" t="s">
        <v>35</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2"/>
      <c r="C183" s="292"/>
      <c r="D183" s="289"/>
      <c r="E183" s="268" t="s">
        <v>59</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2"/>
      <c r="C184" s="292"/>
      <c r="D184" s="289"/>
      <c r="E184" s="268" t="s">
        <v>60</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2"/>
      <c r="C185" s="292"/>
      <c r="D185" s="289"/>
      <c r="E185" s="267" t="s">
        <v>61</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2"/>
      <c r="C186" s="292"/>
      <c r="D186" s="289"/>
      <c r="E186" s="272" t="s">
        <v>623</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2"/>
      <c r="C187" s="292"/>
      <c r="D187" s="289"/>
      <c r="E187" s="266" t="s">
        <v>600</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2"/>
      <c r="C188" s="292"/>
      <c r="D188" s="289"/>
      <c r="E188" s="271" t="s">
        <v>601</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2"/>
      <c r="C189" s="292"/>
      <c r="D189" s="289"/>
      <c r="E189" s="272" t="s">
        <v>64</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2"/>
      <c r="C190" s="292"/>
      <c r="D190" s="289"/>
      <c r="E190" s="272" t="s">
        <v>590</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2"/>
      <c r="C191" s="292"/>
      <c r="D191" s="289"/>
      <c r="E191" s="272" t="s">
        <v>591</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2"/>
      <c r="C192" s="292"/>
      <c r="D192" s="289"/>
      <c r="E192" s="272" t="s">
        <v>592</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2"/>
      <c r="C193" s="292"/>
      <c r="D193" s="289"/>
      <c r="E193" s="267" t="s">
        <v>133</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2"/>
      <c r="C194" s="292"/>
      <c r="D194" s="289"/>
      <c r="E194" s="47" t="s">
        <v>99</v>
      </c>
      <c r="F194" s="45"/>
      <c r="G194" s="46"/>
      <c r="H194" s="216"/>
      <c r="I194" s="249">
        <v>3110</v>
      </c>
      <c r="J194" s="9">
        <v>8000</v>
      </c>
      <c r="K194" s="49"/>
      <c r="L194" s="49"/>
      <c r="M194" s="49"/>
      <c r="N194" s="49">
        <v>8000</v>
      </c>
      <c r="O194" s="49"/>
      <c r="P194" s="49"/>
      <c r="Q194" s="49"/>
      <c r="R194" s="49"/>
      <c r="S194" s="49"/>
      <c r="T194" s="49"/>
      <c r="U194" s="49"/>
      <c r="V194" s="49"/>
      <c r="W194" s="49">
        <v>8000</v>
      </c>
      <c r="X194" s="40">
        <f t="shared" si="12"/>
        <v>0</v>
      </c>
    </row>
    <row r="195" spans="2:24" ht="78.75">
      <c r="B195" s="292"/>
      <c r="C195" s="292"/>
      <c r="D195" s="289"/>
      <c r="E195" s="47" t="s">
        <v>640</v>
      </c>
      <c r="F195" s="45"/>
      <c r="G195" s="46"/>
      <c r="H195" s="216"/>
      <c r="I195" s="249">
        <v>3132</v>
      </c>
      <c r="J195" s="9">
        <f>136000+20000</f>
        <v>156000</v>
      </c>
      <c r="K195" s="49"/>
      <c r="L195" s="49"/>
      <c r="M195" s="49"/>
      <c r="N195" s="49">
        <v>13600</v>
      </c>
      <c r="O195" s="49">
        <v>36800</v>
      </c>
      <c r="P195" s="49">
        <v>85600</v>
      </c>
      <c r="Q195" s="49"/>
      <c r="R195" s="49"/>
      <c r="S195" s="49"/>
      <c r="T195" s="49"/>
      <c r="U195" s="49"/>
      <c r="V195" s="49">
        <v>20000</v>
      </c>
      <c r="W195" s="49">
        <f>2371.2+5532.8+107705.3+14293</f>
        <v>129902.3</v>
      </c>
      <c r="X195" s="40">
        <f t="shared" si="12"/>
        <v>26097.699999999997</v>
      </c>
    </row>
    <row r="196" spans="2:24" ht="63">
      <c r="B196" s="292"/>
      <c r="C196" s="292"/>
      <c r="D196" s="289"/>
      <c r="E196" s="47" t="s">
        <v>119</v>
      </c>
      <c r="F196" s="45"/>
      <c r="G196" s="46"/>
      <c r="H196" s="216"/>
      <c r="I196" s="249">
        <v>3110</v>
      </c>
      <c r="J196" s="9">
        <v>179200</v>
      </c>
      <c r="K196" s="49"/>
      <c r="L196" s="49"/>
      <c r="M196" s="49"/>
      <c r="N196" s="49"/>
      <c r="O196" s="49"/>
      <c r="P196" s="49"/>
      <c r="Q196" s="49"/>
      <c r="R196" s="49"/>
      <c r="S196" s="49"/>
      <c r="T196" s="49">
        <v>179200</v>
      </c>
      <c r="U196" s="49"/>
      <c r="V196" s="49"/>
      <c r="W196" s="49">
        <v>179200</v>
      </c>
      <c r="X196" s="40">
        <f t="shared" si="12"/>
        <v>0</v>
      </c>
    </row>
    <row r="197" spans="2:24" ht="47.25">
      <c r="B197" s="292"/>
      <c r="C197" s="292"/>
      <c r="D197" s="289"/>
      <c r="E197" s="31" t="s">
        <v>822</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3000+47375+1065+1480+14773</f>
        <v>67693</v>
      </c>
      <c r="X197" s="40">
        <f t="shared" si="12"/>
        <v>32307</v>
      </c>
    </row>
    <row r="198" spans="2:24" ht="47.25">
      <c r="B198" s="292"/>
      <c r="C198" s="292"/>
      <c r="D198" s="289"/>
      <c r="E198" s="31" t="s">
        <v>823</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1083.6+393728.4+255510+9979+107835.55+16545.04</f>
        <v>784681.5900000001</v>
      </c>
      <c r="X198" s="40">
        <f t="shared" si="12"/>
        <v>83418.40999999992</v>
      </c>
    </row>
    <row r="199" spans="2:24" ht="47.25">
      <c r="B199" s="292"/>
      <c r="C199" s="292"/>
      <c r="D199" s="289"/>
      <c r="E199" s="73" t="s">
        <v>824</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200000+258316.6+59952.6+136468.8+15622+8297</f>
        <v>678657</v>
      </c>
      <c r="X199" s="40">
        <f t="shared" si="12"/>
        <v>4343</v>
      </c>
    </row>
    <row r="200" spans="2:24" ht="47.25" hidden="1">
      <c r="B200" s="292"/>
      <c r="C200" s="292"/>
      <c r="D200" s="289"/>
      <c r="E200" s="74" t="s">
        <v>825</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2"/>
      <c r="C201" s="292"/>
      <c r="D201" s="289"/>
      <c r="E201" s="67" t="s">
        <v>597</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107466.9+46.1+1876.46+194422</f>
        <v>303811.46</v>
      </c>
      <c r="X201" s="40">
        <f t="shared" si="12"/>
        <v>117188.53999999998</v>
      </c>
    </row>
    <row r="202" spans="2:24" ht="47.25">
      <c r="B202" s="292"/>
      <c r="C202" s="292"/>
      <c r="D202" s="289"/>
      <c r="E202" s="67" t="s">
        <v>906</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1320+73171.2+1320+73171.2+2332</f>
        <v>151314.4</v>
      </c>
      <c r="X202" s="40">
        <f t="shared" si="12"/>
        <v>22685.600000000006</v>
      </c>
    </row>
    <row r="203" spans="2:24" ht="47.25">
      <c r="B203" s="292"/>
      <c r="C203" s="292"/>
      <c r="D203" s="289"/>
      <c r="E203" s="67" t="s">
        <v>913</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92"/>
      <c r="C204" s="292"/>
      <c r="D204" s="289"/>
      <c r="E204" s="67" t="s">
        <v>914</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2"/>
      <c r="C205" s="292"/>
      <c r="D205" s="289"/>
      <c r="E205" s="67" t="s">
        <v>249</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24232+296208.36+126946.44+1477+1136</f>
        <v>449999.8</v>
      </c>
      <c r="X205" s="40">
        <f t="shared" si="12"/>
        <v>1000.2000000000116</v>
      </c>
    </row>
    <row r="206" spans="2:24" ht="47.25">
      <c r="B206" s="292"/>
      <c r="C206" s="292"/>
      <c r="D206" s="289"/>
      <c r="E206" s="67" t="s">
        <v>614</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2"/>
      <c r="C207" s="292"/>
      <c r="D207" s="289"/>
      <c r="E207" s="67" t="s">
        <v>102</v>
      </c>
      <c r="F207" s="49"/>
      <c r="G207" s="18"/>
      <c r="H207" s="217"/>
      <c r="I207" s="249">
        <v>3132</v>
      </c>
      <c r="J207" s="21">
        <v>145000</v>
      </c>
      <c r="K207" s="200"/>
      <c r="L207" s="200"/>
      <c r="M207" s="200"/>
      <c r="N207" s="200"/>
      <c r="O207" s="200"/>
      <c r="P207" s="200"/>
      <c r="Q207" s="200">
        <v>145000</v>
      </c>
      <c r="R207" s="200"/>
      <c r="S207" s="200"/>
      <c r="T207" s="200"/>
      <c r="U207" s="200"/>
      <c r="V207" s="200"/>
      <c r="W207" s="49">
        <f>1758.33+66066.51+355+27560.64+1413.85</f>
        <v>97154.33</v>
      </c>
      <c r="X207" s="40">
        <f t="shared" si="12"/>
        <v>47845.67</v>
      </c>
    </row>
    <row r="208" spans="2:24" ht="47.25">
      <c r="B208" s="292"/>
      <c r="C208" s="292"/>
      <c r="D208" s="289"/>
      <c r="E208" s="67" t="s">
        <v>103</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2"/>
      <c r="C209" s="292"/>
      <c r="D209" s="289"/>
      <c r="E209" s="67" t="s">
        <v>104</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92"/>
      <c r="C210" s="292"/>
      <c r="D210" s="289"/>
      <c r="E210" s="67" t="s">
        <v>105</v>
      </c>
      <c r="F210" s="49"/>
      <c r="G210" s="18"/>
      <c r="H210" s="217"/>
      <c r="I210" s="249">
        <v>3132</v>
      </c>
      <c r="J210" s="21">
        <f>150000-95000</f>
        <v>55000</v>
      </c>
      <c r="K210" s="200"/>
      <c r="L210" s="200"/>
      <c r="M210" s="200"/>
      <c r="N210" s="200"/>
      <c r="O210" s="200"/>
      <c r="P210" s="200"/>
      <c r="Q210" s="200">
        <v>150000</v>
      </c>
      <c r="R210" s="200"/>
      <c r="S210" s="200"/>
      <c r="T210" s="200"/>
      <c r="U210" s="200"/>
      <c r="V210" s="200">
        <v>-95000</v>
      </c>
      <c r="W210" s="49"/>
      <c r="X210" s="40">
        <f t="shared" si="14"/>
        <v>55000</v>
      </c>
    </row>
    <row r="211" spans="2:24" ht="31.5">
      <c r="B211" s="292"/>
      <c r="C211" s="292"/>
      <c r="D211" s="289"/>
      <c r="E211" s="67" t="s">
        <v>106</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92"/>
      <c r="C212" s="292"/>
      <c r="D212" s="289"/>
      <c r="E212" s="67" t="s">
        <v>107</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92"/>
      <c r="C213" s="292"/>
      <c r="D213" s="289"/>
      <c r="E213" s="67" t="s">
        <v>108</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46197+109161+386343+125928+188892+172125+62964</f>
        <v>1091610</v>
      </c>
      <c r="X213" s="40">
        <f t="shared" si="14"/>
        <v>38390</v>
      </c>
    </row>
    <row r="214" spans="2:24" ht="31.5">
      <c r="B214" s="292"/>
      <c r="C214" s="292"/>
      <c r="D214" s="289"/>
      <c r="E214" s="67" t="s">
        <v>27</v>
      </c>
      <c r="F214" s="49"/>
      <c r="G214" s="18"/>
      <c r="H214" s="217"/>
      <c r="I214" s="249">
        <v>3110</v>
      </c>
      <c r="J214" s="21">
        <v>120000</v>
      </c>
      <c r="K214" s="200"/>
      <c r="L214" s="200"/>
      <c r="M214" s="200"/>
      <c r="N214" s="200"/>
      <c r="O214" s="200"/>
      <c r="P214" s="200"/>
      <c r="Q214" s="200"/>
      <c r="R214" s="200"/>
      <c r="S214" s="200"/>
      <c r="T214" s="200"/>
      <c r="U214" s="200">
        <v>120000</v>
      </c>
      <c r="V214" s="200"/>
      <c r="W214" s="49">
        <v>120000</v>
      </c>
      <c r="X214" s="40">
        <f t="shared" si="14"/>
        <v>0</v>
      </c>
    </row>
    <row r="215" spans="2:24" ht="47.25">
      <c r="B215" s="292"/>
      <c r="C215" s="292"/>
      <c r="D215" s="289"/>
      <c r="E215" s="67" t="s">
        <v>634</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184639+121094.97+2028.74</f>
        <v>307762.70999999996</v>
      </c>
      <c r="X215" s="40">
        <f t="shared" si="14"/>
        <v>392237.29000000004</v>
      </c>
    </row>
    <row r="216" spans="2:24" ht="47.25">
      <c r="B216" s="292"/>
      <c r="C216" s="292"/>
      <c r="D216" s="289"/>
      <c r="E216" s="67" t="s">
        <v>129</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44100+58074.53+890.91+17708.38</f>
        <v>120773.82</v>
      </c>
      <c r="X216" s="40">
        <f t="shared" si="14"/>
        <v>29226.179999999993</v>
      </c>
    </row>
    <row r="217" spans="2:24" ht="47.25">
      <c r="B217" s="292"/>
      <c r="C217" s="292"/>
      <c r="D217" s="289"/>
      <c r="E217" s="67" t="s">
        <v>130</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92"/>
      <c r="C218" s="292"/>
      <c r="D218" s="289"/>
      <c r="E218" s="67" t="s">
        <v>44</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56920+920.75+56920+579.25</f>
        <v>115340</v>
      </c>
      <c r="X218" s="40">
        <f t="shared" si="14"/>
        <v>660</v>
      </c>
    </row>
    <row r="219" spans="2:24" ht="63">
      <c r="B219" s="292"/>
      <c r="C219" s="292"/>
      <c r="D219" s="289"/>
      <c r="E219" s="31" t="s">
        <v>131</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57615+46443+96582.91</f>
        <v>200640.91</v>
      </c>
      <c r="X219" s="40">
        <f t="shared" si="14"/>
        <v>40359.09</v>
      </c>
    </row>
    <row r="220" spans="2:24" ht="31.5">
      <c r="B220" s="292"/>
      <c r="C220" s="292"/>
      <c r="D220" s="289"/>
      <c r="E220" s="67" t="s">
        <v>132</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92"/>
      <c r="C221" s="292"/>
      <c r="D221" s="289"/>
      <c r="E221" s="67" t="s">
        <v>124</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12700+338650+128000+178167.05+270810+15382</f>
        <v>943709.05</v>
      </c>
      <c r="X221" s="40">
        <f t="shared" si="14"/>
        <v>102290.94999999995</v>
      </c>
    </row>
    <row r="222" spans="2:24" ht="47.25">
      <c r="B222" s="292"/>
      <c r="C222" s="292"/>
      <c r="D222" s="289"/>
      <c r="E222" s="67" t="s">
        <v>28</v>
      </c>
      <c r="F222" s="49"/>
      <c r="G222" s="18"/>
      <c r="H222" s="220"/>
      <c r="I222" s="249">
        <v>3110</v>
      </c>
      <c r="J222" s="21">
        <v>48393.2</v>
      </c>
      <c r="K222" s="200"/>
      <c r="L222" s="200"/>
      <c r="M222" s="200"/>
      <c r="N222" s="200"/>
      <c r="O222" s="200"/>
      <c r="P222" s="200"/>
      <c r="Q222" s="200"/>
      <c r="R222" s="200"/>
      <c r="S222" s="200"/>
      <c r="T222" s="200"/>
      <c r="U222" s="200">
        <v>48393.2</v>
      </c>
      <c r="V222" s="200"/>
      <c r="W222" s="49">
        <f>44320</f>
        <v>44320</v>
      </c>
      <c r="X222" s="40">
        <f t="shared" si="14"/>
        <v>4073.199999999997</v>
      </c>
    </row>
    <row r="223" spans="2:24" ht="83.25" customHeight="1">
      <c r="B223" s="292"/>
      <c r="C223" s="292"/>
      <c r="D223" s="289"/>
      <c r="E223" s="67" t="s">
        <v>349</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f>1404+268971.5+9152+115273.5+7410.7</f>
        <v>402211.7</v>
      </c>
      <c r="X223" s="40">
        <f t="shared" si="14"/>
        <v>1788.2999999999884</v>
      </c>
    </row>
    <row r="224" spans="2:24" ht="47.25">
      <c r="B224" s="292"/>
      <c r="C224" s="292"/>
      <c r="D224" s="289"/>
      <c r="E224" s="65" t="s">
        <v>212</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2556+6645.6+681520.56+216660.24+9650+76193.91</f>
        <v>993226.31</v>
      </c>
      <c r="X224" s="40">
        <f t="shared" si="14"/>
        <v>56773.689999999944</v>
      </c>
    </row>
    <row r="225" spans="2:24" ht="31.5" hidden="1">
      <c r="B225" s="292"/>
      <c r="C225" s="292"/>
      <c r="D225" s="289"/>
      <c r="E225" s="65" t="s">
        <v>639</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92"/>
      <c r="C226" s="292"/>
      <c r="D226" s="289"/>
      <c r="E226" s="67" t="s">
        <v>635</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f>55800+142992</f>
        <v>198792</v>
      </c>
      <c r="X226" s="40">
        <f t="shared" si="14"/>
        <v>136208</v>
      </c>
    </row>
    <row r="227" spans="2:24" ht="31.5">
      <c r="B227" s="292"/>
      <c r="C227" s="292"/>
      <c r="D227" s="289"/>
      <c r="E227" s="31" t="s">
        <v>636</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92"/>
      <c r="C228" s="292"/>
      <c r="D228" s="289"/>
      <c r="E228" s="67" t="s">
        <v>778</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210000-210000+720058</f>
        <v>720058</v>
      </c>
      <c r="X228" s="40">
        <f t="shared" si="14"/>
        <v>29942</v>
      </c>
    </row>
    <row r="229" spans="2:24" ht="15.75">
      <c r="B229" s="292"/>
      <c r="C229" s="292"/>
      <c r="D229" s="289"/>
      <c r="E229" s="74" t="s">
        <v>537</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92"/>
      <c r="C230" s="292"/>
      <c r="D230" s="289"/>
      <c r="E230" s="31" t="s">
        <v>538</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92"/>
      <c r="C231" s="292"/>
      <c r="D231" s="289"/>
      <c r="E231" s="31" t="s">
        <v>539</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2931.66+71277+6840.54+34779+23380+2000</f>
        <v>141208.2</v>
      </c>
      <c r="X231" s="40">
        <f t="shared" si="14"/>
        <v>31791.79999999999</v>
      </c>
    </row>
    <row r="232" spans="2:24" ht="63">
      <c r="B232" s="292"/>
      <c r="C232" s="292"/>
      <c r="D232" s="289"/>
      <c r="E232" s="75" t="s">
        <v>279</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92"/>
      <c r="C233" s="292"/>
      <c r="D233" s="289"/>
      <c r="E233" s="31" t="s">
        <v>280</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92"/>
      <c r="C234" s="292"/>
      <c r="D234" s="289"/>
      <c r="E234" s="31" t="s">
        <v>766</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105000+4044+1343.34+144302.4</f>
        <v>254689.74</v>
      </c>
      <c r="X234" s="40">
        <f t="shared" si="14"/>
        <v>95310.26000000001</v>
      </c>
    </row>
    <row r="235" spans="2:24" ht="66" customHeight="1">
      <c r="B235" s="292"/>
      <c r="C235" s="292"/>
      <c r="D235" s="289"/>
      <c r="E235" s="31" t="s">
        <v>157</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92"/>
      <c r="C236" s="292"/>
      <c r="D236" s="289"/>
      <c r="E236" s="31" t="s">
        <v>158</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959.48+2272.12+37834.2+1100+15675.8</f>
        <v>57841.59999999999</v>
      </c>
      <c r="X236" s="40">
        <f t="shared" si="14"/>
        <v>22158.40000000001</v>
      </c>
    </row>
    <row r="237" spans="2:24" ht="31.5">
      <c r="B237" s="292"/>
      <c r="C237" s="292"/>
      <c r="D237" s="289"/>
      <c r="E237" s="31" t="s">
        <v>761</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2108.43+4919.67+34973.8+15094.2+19879.6</f>
        <v>76975.70000000001</v>
      </c>
      <c r="X237" s="40">
        <f t="shared" si="14"/>
        <v>3024.2999999999884</v>
      </c>
    </row>
    <row r="238" spans="2:24" ht="31.5">
      <c r="B238" s="292"/>
      <c r="C238" s="292"/>
      <c r="D238" s="289"/>
      <c r="E238" s="31" t="s">
        <v>762</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92"/>
      <c r="C239" s="292"/>
      <c r="D239" s="289"/>
      <c r="E239" s="31" t="s">
        <v>163</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f>100500+145650+338705.94</f>
        <v>584855.94</v>
      </c>
      <c r="X239" s="40">
        <f t="shared" si="14"/>
        <v>17144.060000000056</v>
      </c>
    </row>
    <row r="240" spans="2:24" ht="47.25">
      <c r="B240" s="292"/>
      <c r="C240" s="292"/>
      <c r="D240" s="289"/>
      <c r="E240" s="31" t="s">
        <v>164</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92"/>
      <c r="C241" s="292"/>
      <c r="D241" s="289"/>
      <c r="E241" s="31" t="s">
        <v>22</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92"/>
      <c r="C242" s="292"/>
      <c r="D242" s="289"/>
      <c r="E242" s="31" t="s">
        <v>23</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92"/>
      <c r="C243" s="292"/>
      <c r="D243" s="289"/>
      <c r="E243" s="31" t="s">
        <v>472</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2083.32+4861.08+43725.8+1278+765+75258+42270.2+42270.2+11276.8</f>
        <v>223788.40000000002</v>
      </c>
      <c r="X243" s="40">
        <f t="shared" si="14"/>
        <v>26211.599999999977</v>
      </c>
    </row>
    <row r="244" spans="2:24" ht="31.5">
      <c r="B244" s="292"/>
      <c r="C244" s="292"/>
      <c r="D244" s="289"/>
      <c r="E244" s="31" t="s">
        <v>473</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2355.53+5496.24+9999+9999</f>
        <v>27849.77</v>
      </c>
      <c r="X244" s="40">
        <f t="shared" si="14"/>
        <v>22150.23</v>
      </c>
    </row>
    <row r="245" spans="2:24" ht="31.5">
      <c r="B245" s="292"/>
      <c r="C245" s="292"/>
      <c r="D245" s="289"/>
      <c r="E245" s="31" t="s">
        <v>474</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2083.32+4861.08+66748.5+30119.5</f>
        <v>103812.4</v>
      </c>
      <c r="X245" s="40">
        <f t="shared" si="14"/>
        <v>10187.600000000006</v>
      </c>
    </row>
    <row r="246" spans="2:24" ht="47.25" hidden="1">
      <c r="B246" s="292"/>
      <c r="C246" s="292"/>
      <c r="D246" s="289"/>
      <c r="E246" s="31" t="s">
        <v>475</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92"/>
      <c r="C247" s="292"/>
      <c r="D247" s="289"/>
      <c r="E247" s="31" t="s">
        <v>605</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6000+13697+143685.5+5148+143685.5+127568+125998</f>
        <v>565782</v>
      </c>
      <c r="X247" s="40">
        <f t="shared" si="14"/>
        <v>218</v>
      </c>
    </row>
    <row r="248" spans="2:24" ht="47.25">
      <c r="B248" s="292"/>
      <c r="C248" s="292"/>
      <c r="D248" s="289"/>
      <c r="E248" s="31" t="s">
        <v>1</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51799+661671.36+253049.04+14221.74+32420.46</f>
        <v>1013161.6</v>
      </c>
      <c r="X248" s="40">
        <f t="shared" si="14"/>
        <v>6838.400000000023</v>
      </c>
    </row>
    <row r="249" spans="2:24" ht="47.25">
      <c r="B249" s="292"/>
      <c r="C249" s="292"/>
      <c r="D249" s="289"/>
      <c r="E249" s="31" t="s">
        <v>2</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1829.61+4269.09+46200.65+1500+46200.65-90.14</f>
        <v>99909.86</v>
      </c>
      <c r="X249" s="40">
        <f t="shared" si="14"/>
        <v>90.13999999999942</v>
      </c>
    </row>
    <row r="250" spans="2:24" ht="47.25">
      <c r="B250" s="292"/>
      <c r="C250" s="292"/>
      <c r="D250" s="289"/>
      <c r="E250" s="31" t="s">
        <v>3</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f>24827.9+24827.9</f>
        <v>49655.8</v>
      </c>
      <c r="X250" s="40">
        <f t="shared" si="14"/>
        <v>50344.2</v>
      </c>
    </row>
    <row r="251" spans="2:24" ht="31.5">
      <c r="B251" s="292"/>
      <c r="C251" s="292"/>
      <c r="D251" s="289"/>
      <c r="E251" s="31" t="s">
        <v>780</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92"/>
      <c r="C252" s="292"/>
      <c r="D252" s="289"/>
      <c r="E252" s="31" t="s">
        <v>4</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92"/>
      <c r="C253" s="292"/>
      <c r="D253" s="289"/>
      <c r="E253" s="31" t="s">
        <v>779</v>
      </c>
      <c r="F253" s="49"/>
      <c r="G253" s="18"/>
      <c r="H253" s="220"/>
      <c r="I253" s="249">
        <v>3132</v>
      </c>
      <c r="J253" s="21">
        <v>503000</v>
      </c>
      <c r="K253" s="49"/>
      <c r="L253" s="49"/>
      <c r="M253" s="49"/>
      <c r="N253" s="49"/>
      <c r="O253" s="49"/>
      <c r="P253" s="49"/>
      <c r="Q253" s="49"/>
      <c r="R253" s="49"/>
      <c r="S253" s="49">
        <v>503000</v>
      </c>
      <c r="T253" s="49"/>
      <c r="U253" s="49"/>
      <c r="V253" s="49"/>
      <c r="W253" s="49">
        <f>359008.12+140676.48</f>
        <v>499684.6</v>
      </c>
      <c r="X253" s="40">
        <f t="shared" si="14"/>
        <v>3315.4000000000233</v>
      </c>
    </row>
    <row r="254" spans="2:24" ht="31.5">
      <c r="B254" s="292"/>
      <c r="C254" s="292"/>
      <c r="D254" s="289"/>
      <c r="E254" s="31" t="s">
        <v>5</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92"/>
      <c r="C255" s="292"/>
      <c r="D255" s="289"/>
      <c r="E255" s="31" t="s">
        <v>6</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f>26816</f>
        <v>26816</v>
      </c>
      <c r="X255" s="40">
        <f t="shared" si="14"/>
        <v>34184</v>
      </c>
    </row>
    <row r="256" spans="2:24" ht="31.5">
      <c r="B256" s="292"/>
      <c r="C256" s="292"/>
      <c r="D256" s="289"/>
      <c r="E256" s="31" t="s">
        <v>765</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1950+1950+3230+4550+52442.88+20882.4-920+14557.12+1161.28</f>
        <v>99803.68</v>
      </c>
      <c r="X256" s="40">
        <f t="shared" si="14"/>
        <v>267196.32</v>
      </c>
    </row>
    <row r="257" spans="2:24" ht="47.25">
      <c r="B257" s="292"/>
      <c r="C257" s="292"/>
      <c r="D257" s="289"/>
      <c r="E257" s="31" t="s">
        <v>754</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92"/>
      <c r="C258" s="292"/>
      <c r="D258" s="289"/>
      <c r="E258" s="31" t="s">
        <v>121</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92"/>
      <c r="C259" s="292"/>
      <c r="D259" s="289"/>
      <c r="E259" s="31" t="s">
        <v>127</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3478+6739.71+1375+122500+4251+2268.6+50478.1+847</f>
        <v>191937.41</v>
      </c>
      <c r="X259" s="40">
        <f t="shared" si="14"/>
        <v>315062.58999999997</v>
      </c>
    </row>
    <row r="260" spans="2:24" ht="31.5" hidden="1">
      <c r="B260" s="292"/>
      <c r="C260" s="292"/>
      <c r="D260" s="289"/>
      <c r="E260" s="31" t="s">
        <v>810</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92"/>
      <c r="C261" s="292"/>
      <c r="D261" s="289"/>
      <c r="E261" s="29" t="s">
        <v>681</v>
      </c>
      <c r="F261" s="49"/>
      <c r="G261" s="18"/>
      <c r="H261" s="220"/>
      <c r="I261" s="249">
        <v>3132</v>
      </c>
      <c r="J261" s="21">
        <v>506000</v>
      </c>
      <c r="K261" s="49"/>
      <c r="L261" s="49"/>
      <c r="M261" s="49"/>
      <c r="N261" s="49"/>
      <c r="O261" s="49"/>
      <c r="P261" s="49"/>
      <c r="Q261" s="49"/>
      <c r="R261" s="49"/>
      <c r="S261" s="21">
        <v>506000</v>
      </c>
      <c r="T261" s="49"/>
      <c r="U261" s="49"/>
      <c r="V261" s="49"/>
      <c r="W261" s="49">
        <f>1968+121391.5+100039.5+3895.89</f>
        <v>227294.89</v>
      </c>
      <c r="X261" s="40">
        <f t="shared" si="14"/>
        <v>278705.11</v>
      </c>
    </row>
    <row r="262" spans="2:24" ht="47.25">
      <c r="B262" s="292"/>
      <c r="C262" s="292"/>
      <c r="D262" s="289"/>
      <c r="E262" s="29" t="s">
        <v>682</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92"/>
      <c r="C263" s="292"/>
      <c r="D263" s="289"/>
      <c r="E263" s="29" t="s">
        <v>671</v>
      </c>
      <c r="F263" s="49"/>
      <c r="G263" s="18"/>
      <c r="H263" s="220"/>
      <c r="I263" s="249">
        <v>3132</v>
      </c>
      <c r="J263" s="21">
        <v>223000</v>
      </c>
      <c r="K263" s="49"/>
      <c r="L263" s="49"/>
      <c r="M263" s="49"/>
      <c r="N263" s="49"/>
      <c r="O263" s="49"/>
      <c r="P263" s="49"/>
      <c r="Q263" s="49"/>
      <c r="R263" s="49"/>
      <c r="S263" s="21">
        <v>223000</v>
      </c>
      <c r="T263" s="49"/>
      <c r="U263" s="49"/>
      <c r="V263" s="49"/>
      <c r="W263" s="49">
        <f>109494+107829.36+5000</f>
        <v>222323.36</v>
      </c>
      <c r="X263" s="40">
        <f t="shared" si="14"/>
        <v>676.640000000014</v>
      </c>
    </row>
    <row r="264" spans="2:24" ht="31.5">
      <c r="B264" s="292"/>
      <c r="C264" s="292"/>
      <c r="D264" s="289"/>
      <c r="E264" s="29" t="s">
        <v>672</v>
      </c>
      <c r="F264" s="49"/>
      <c r="G264" s="18"/>
      <c r="H264" s="220"/>
      <c r="I264" s="249">
        <v>3132</v>
      </c>
      <c r="J264" s="21">
        <v>298000</v>
      </c>
      <c r="K264" s="49"/>
      <c r="L264" s="49"/>
      <c r="M264" s="49"/>
      <c r="N264" s="49"/>
      <c r="O264" s="49"/>
      <c r="P264" s="49"/>
      <c r="Q264" s="49"/>
      <c r="R264" s="49"/>
      <c r="S264" s="21">
        <v>298000</v>
      </c>
      <c r="T264" s="49"/>
      <c r="U264" s="49"/>
      <c r="V264" s="49"/>
      <c r="W264" s="49">
        <f>204663.2+87712.8+5207</f>
        <v>297583</v>
      </c>
      <c r="X264" s="40">
        <f t="shared" si="14"/>
        <v>417</v>
      </c>
    </row>
    <row r="265" spans="2:24" ht="31.5">
      <c r="B265" s="292"/>
      <c r="C265" s="292"/>
      <c r="D265" s="289"/>
      <c r="E265" s="29" t="s">
        <v>675</v>
      </c>
      <c r="F265" s="49"/>
      <c r="G265" s="18"/>
      <c r="H265" s="220"/>
      <c r="I265" s="249">
        <v>3132</v>
      </c>
      <c r="J265" s="21">
        <v>100000</v>
      </c>
      <c r="K265" s="49"/>
      <c r="L265" s="49"/>
      <c r="M265" s="49"/>
      <c r="N265" s="49"/>
      <c r="O265" s="49"/>
      <c r="P265" s="49"/>
      <c r="Q265" s="49"/>
      <c r="R265" s="49"/>
      <c r="S265" s="21">
        <v>100000</v>
      </c>
      <c r="T265" s="49"/>
      <c r="U265" s="49"/>
      <c r="V265" s="49"/>
      <c r="W265" s="49">
        <f>68612.6+29405.4</f>
        <v>98018</v>
      </c>
      <c r="X265" s="40">
        <f t="shared" si="14"/>
        <v>1982</v>
      </c>
    </row>
    <row r="266" spans="2:24" ht="31.5">
      <c r="B266" s="292"/>
      <c r="C266" s="292"/>
      <c r="D266" s="289"/>
      <c r="E266" s="31" t="s">
        <v>971</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3282.91+350000+117843+1479.17+2086.51+5090.49</f>
        <v>479782.07999999996</v>
      </c>
      <c r="X266" s="40">
        <f t="shared" si="14"/>
        <v>217.9200000000419</v>
      </c>
    </row>
    <row r="267" spans="2:24" ht="31.5">
      <c r="B267" s="292"/>
      <c r="C267" s="292"/>
      <c r="D267" s="289"/>
      <c r="E267" s="29" t="s">
        <v>50</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92"/>
      <c r="C268" s="292"/>
      <c r="D268" s="289"/>
      <c r="E268" s="29" t="s">
        <v>51</v>
      </c>
      <c r="F268" s="49"/>
      <c r="G268" s="18"/>
      <c r="H268" s="220"/>
      <c r="I268" s="249">
        <v>3132</v>
      </c>
      <c r="J268" s="21">
        <v>352000</v>
      </c>
      <c r="K268" s="49"/>
      <c r="L268" s="49"/>
      <c r="M268" s="49"/>
      <c r="N268" s="49"/>
      <c r="O268" s="49"/>
      <c r="P268" s="49"/>
      <c r="Q268" s="49"/>
      <c r="R268" s="49"/>
      <c r="S268" s="21">
        <v>352000</v>
      </c>
      <c r="T268" s="49"/>
      <c r="U268" s="49"/>
      <c r="V268" s="49"/>
      <c r="W268" s="49">
        <f>100058.76+2594.8+41179.02</f>
        <v>143832.58</v>
      </c>
      <c r="X268" s="40">
        <f t="shared" si="14"/>
        <v>208167.42</v>
      </c>
    </row>
    <row r="269" spans="2:24" ht="31.5">
      <c r="B269" s="292"/>
      <c r="C269" s="292"/>
      <c r="D269" s="289"/>
      <c r="E269" s="29" t="s">
        <v>52</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3178.38+161799.8+355+26609.18+2860.35</f>
        <v>194802.71</v>
      </c>
      <c r="X269" s="40">
        <f t="shared" si="14"/>
        <v>37197.29000000001</v>
      </c>
    </row>
    <row r="270" spans="2:24" ht="31.5">
      <c r="B270" s="292"/>
      <c r="C270" s="292"/>
      <c r="D270" s="289"/>
      <c r="E270" s="29" t="s">
        <v>53</v>
      </c>
      <c r="F270" s="49"/>
      <c r="G270" s="18"/>
      <c r="H270" s="220"/>
      <c r="I270" s="249">
        <v>3132</v>
      </c>
      <c r="J270" s="21">
        <v>98000</v>
      </c>
      <c r="K270" s="49"/>
      <c r="L270" s="49"/>
      <c r="M270" s="49"/>
      <c r="N270" s="49"/>
      <c r="O270" s="49"/>
      <c r="P270" s="49"/>
      <c r="Q270" s="49"/>
      <c r="R270" s="49"/>
      <c r="S270" s="21">
        <v>98000</v>
      </c>
      <c r="T270" s="49"/>
      <c r="U270" s="49"/>
      <c r="V270" s="49"/>
      <c r="W270" s="49">
        <f>48140+48140+1651</f>
        <v>97931</v>
      </c>
      <c r="X270" s="40">
        <f t="shared" si="14"/>
        <v>69</v>
      </c>
    </row>
    <row r="271" spans="2:24" ht="47.25">
      <c r="B271" s="292"/>
      <c r="C271" s="292"/>
      <c r="D271" s="289"/>
      <c r="E271" s="29" t="s">
        <v>677</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92"/>
      <c r="C272" s="292"/>
      <c r="D272" s="289"/>
      <c r="E272" s="29" t="s">
        <v>678</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43324+196082.04-27673.1+72019.56+4166.56+12015.6+65.34</f>
        <v>300000</v>
      </c>
      <c r="X272" s="40">
        <f t="shared" si="14"/>
        <v>0</v>
      </c>
    </row>
    <row r="273" spans="2:24" ht="47.25">
      <c r="B273" s="292"/>
      <c r="C273" s="292"/>
      <c r="D273" s="289"/>
      <c r="E273" s="29" t="s">
        <v>679</v>
      </c>
      <c r="F273" s="49"/>
      <c r="G273" s="18"/>
      <c r="H273" s="220"/>
      <c r="I273" s="249">
        <v>3132</v>
      </c>
      <c r="J273" s="21">
        <v>247000</v>
      </c>
      <c r="K273" s="49"/>
      <c r="L273" s="49"/>
      <c r="M273" s="49"/>
      <c r="N273" s="49"/>
      <c r="O273" s="49"/>
      <c r="P273" s="49"/>
      <c r="Q273" s="49"/>
      <c r="R273" s="49"/>
      <c r="S273" s="21">
        <v>247000</v>
      </c>
      <c r="T273" s="49"/>
      <c r="U273" s="49"/>
      <c r="V273" s="49"/>
      <c r="W273" s="49">
        <f>169826.44+59949.56+3493.36</f>
        <v>233269.36</v>
      </c>
      <c r="X273" s="40">
        <f aca="true" t="shared" si="18" ref="X273:X338">J273-W273</f>
        <v>13730.640000000014</v>
      </c>
    </row>
    <row r="274" spans="2:24" ht="31.5">
      <c r="B274" s="292"/>
      <c r="C274" s="292"/>
      <c r="D274" s="289"/>
      <c r="E274" s="29" t="s">
        <v>411</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34405+29184</f>
        <v>63589</v>
      </c>
      <c r="X274" s="40">
        <f t="shared" si="18"/>
        <v>911</v>
      </c>
    </row>
    <row r="275" spans="2:24" ht="31.5">
      <c r="B275" s="292"/>
      <c r="C275" s="292"/>
      <c r="D275" s="289"/>
      <c r="E275" s="29" t="s">
        <v>412</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92"/>
      <c r="C276" s="292"/>
      <c r="D276" s="289"/>
      <c r="E276" s="29" t="s">
        <v>358</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92"/>
      <c r="C277" s="292"/>
      <c r="D277" s="289"/>
      <c r="E277" s="29" t="s">
        <v>359</v>
      </c>
      <c r="F277" s="49"/>
      <c r="G277" s="18"/>
      <c r="H277" s="220"/>
      <c r="I277" s="249">
        <v>3132</v>
      </c>
      <c r="J277" s="21">
        <v>60000</v>
      </c>
      <c r="K277" s="49"/>
      <c r="L277" s="49"/>
      <c r="M277" s="49"/>
      <c r="N277" s="49"/>
      <c r="O277" s="49"/>
      <c r="P277" s="49"/>
      <c r="Q277" s="49"/>
      <c r="R277" s="49"/>
      <c r="S277" s="21"/>
      <c r="T277" s="49">
        <v>60000</v>
      </c>
      <c r="U277" s="49"/>
      <c r="V277" s="49"/>
      <c r="W277" s="49">
        <f>29457+29457+905</f>
        <v>59819</v>
      </c>
      <c r="X277" s="40">
        <f t="shared" si="18"/>
        <v>181</v>
      </c>
    </row>
    <row r="278" spans="2:30" ht="31.5">
      <c r="B278" s="292"/>
      <c r="C278" s="292"/>
      <c r="D278" s="289"/>
      <c r="E278" s="29" t="s">
        <v>143</v>
      </c>
      <c r="F278" s="49"/>
      <c r="G278" s="18"/>
      <c r="H278" s="220"/>
      <c r="I278" s="249">
        <v>3132</v>
      </c>
      <c r="J278" s="21">
        <v>100000</v>
      </c>
      <c r="K278" s="49"/>
      <c r="L278" s="49"/>
      <c r="M278" s="49"/>
      <c r="N278" s="49"/>
      <c r="O278" s="49"/>
      <c r="P278" s="49"/>
      <c r="Q278" s="49"/>
      <c r="R278" s="49"/>
      <c r="S278" s="21"/>
      <c r="T278" s="49"/>
      <c r="U278" s="49">
        <v>100000</v>
      </c>
      <c r="V278" s="49"/>
      <c r="W278" s="49">
        <f>49084.2+49084.2</f>
        <v>98168.4</v>
      </c>
      <c r="X278" s="40">
        <f t="shared" si="18"/>
        <v>1831.6000000000058</v>
      </c>
      <c r="Y278" s="40">
        <f aca="true" t="shared" si="19" ref="Y278:AD278">L278+M278+N278+O278+P278+Q278+R278+S278+T278+U278+V278-X278</f>
        <v>98168.4</v>
      </c>
      <c r="Z278" s="40">
        <f t="shared" si="19"/>
        <v>100000</v>
      </c>
      <c r="AA278" s="40">
        <f t="shared" si="19"/>
        <v>100000</v>
      </c>
      <c r="AB278" s="40">
        <f t="shared" si="19"/>
        <v>198168.40000000002</v>
      </c>
      <c r="AC278" s="40">
        <f t="shared" si="19"/>
        <v>200000</v>
      </c>
      <c r="AD278" s="40">
        <f t="shared" si="19"/>
        <v>298168.4</v>
      </c>
    </row>
    <row r="279" spans="2:24" ht="31.5">
      <c r="B279" s="292"/>
      <c r="C279" s="292"/>
      <c r="D279" s="289"/>
      <c r="E279" s="29" t="s">
        <v>648</v>
      </c>
      <c r="F279" s="49"/>
      <c r="G279" s="18"/>
      <c r="H279" s="220"/>
      <c r="I279" s="249">
        <v>3132</v>
      </c>
      <c r="J279" s="21">
        <v>600000</v>
      </c>
      <c r="K279" s="49"/>
      <c r="L279" s="49"/>
      <c r="M279" s="49"/>
      <c r="N279" s="49"/>
      <c r="O279" s="49"/>
      <c r="P279" s="49"/>
      <c r="Q279" s="49"/>
      <c r="R279" s="49"/>
      <c r="S279" s="21"/>
      <c r="T279" s="49"/>
      <c r="U279" s="49">
        <v>600000</v>
      </c>
      <c r="V279" s="49"/>
      <c r="W279" s="49">
        <f>412008.1+176574.9</f>
        <v>588583</v>
      </c>
      <c r="X279" s="40">
        <f t="shared" si="18"/>
        <v>11417</v>
      </c>
    </row>
    <row r="280" spans="2:24" ht="63">
      <c r="B280" s="292"/>
      <c r="C280" s="292"/>
      <c r="D280" s="289"/>
      <c r="E280" s="29" t="s">
        <v>731</v>
      </c>
      <c r="F280" s="49"/>
      <c r="G280" s="18"/>
      <c r="H280" s="220"/>
      <c r="I280" s="249">
        <v>3132</v>
      </c>
      <c r="J280" s="21">
        <v>95000</v>
      </c>
      <c r="K280" s="49"/>
      <c r="L280" s="49"/>
      <c r="M280" s="49"/>
      <c r="N280" s="49"/>
      <c r="O280" s="49"/>
      <c r="P280" s="49"/>
      <c r="Q280" s="49"/>
      <c r="R280" s="49"/>
      <c r="S280" s="21"/>
      <c r="T280" s="49"/>
      <c r="U280" s="49"/>
      <c r="V280" s="49">
        <v>95000</v>
      </c>
      <c r="W280" s="49">
        <f>72244.67</f>
        <v>72244.67</v>
      </c>
      <c r="X280" s="40">
        <f t="shared" si="18"/>
        <v>22755.33</v>
      </c>
    </row>
    <row r="281" spans="2:24" ht="31.5">
      <c r="B281" s="292"/>
      <c r="C281" s="292"/>
      <c r="D281" s="289"/>
      <c r="E281" s="29" t="s">
        <v>730</v>
      </c>
      <c r="F281" s="49"/>
      <c r="G281" s="18"/>
      <c r="H281" s="220"/>
      <c r="I281" s="249">
        <v>3132</v>
      </c>
      <c r="J281" s="21">
        <v>100000</v>
      </c>
      <c r="K281" s="49"/>
      <c r="L281" s="49"/>
      <c r="M281" s="49"/>
      <c r="N281" s="49"/>
      <c r="O281" s="49"/>
      <c r="P281" s="49"/>
      <c r="Q281" s="49"/>
      <c r="R281" s="49"/>
      <c r="S281" s="21"/>
      <c r="T281" s="49"/>
      <c r="U281" s="49"/>
      <c r="V281" s="49">
        <v>100000</v>
      </c>
      <c r="W281" s="49">
        <f>99905</f>
        <v>99905</v>
      </c>
      <c r="X281" s="40">
        <f t="shared" si="18"/>
        <v>95</v>
      </c>
    </row>
    <row r="282" spans="2:24" ht="47.25">
      <c r="B282" s="293"/>
      <c r="C282" s="293"/>
      <c r="D282" s="290"/>
      <c r="E282" s="29" t="s">
        <v>281</v>
      </c>
      <c r="F282" s="49">
        <v>100000</v>
      </c>
      <c r="G282" s="18">
        <f>100%-((F282-H282)/F282)</f>
        <v>1</v>
      </c>
      <c r="H282" s="220">
        <f>F282</f>
        <v>100000</v>
      </c>
      <c r="I282" s="249">
        <v>3132</v>
      </c>
      <c r="J282" s="21">
        <v>100000</v>
      </c>
      <c r="K282" s="49"/>
      <c r="L282" s="49"/>
      <c r="M282" s="49"/>
      <c r="N282" s="49"/>
      <c r="O282" s="49">
        <v>50000</v>
      </c>
      <c r="P282" s="49"/>
      <c r="Q282" s="49">
        <v>40000</v>
      </c>
      <c r="R282" s="49"/>
      <c r="S282" s="49">
        <v>10000</v>
      </c>
      <c r="T282" s="49"/>
      <c r="U282" s="49"/>
      <c r="V282" s="49"/>
      <c r="W282" s="49">
        <f>45213.6+2400+45213.6</f>
        <v>92827.2</v>
      </c>
      <c r="X282" s="40">
        <f t="shared" si="18"/>
        <v>7172.800000000003</v>
      </c>
    </row>
    <row r="283" spans="2:24" ht="15.75">
      <c r="B283" s="302" t="s">
        <v>947</v>
      </c>
      <c r="C283" s="302" t="s">
        <v>79</v>
      </c>
      <c r="D283" s="288" t="s">
        <v>781</v>
      </c>
      <c r="E283" s="31"/>
      <c r="F283" s="49"/>
      <c r="G283" s="18"/>
      <c r="H283" s="220"/>
      <c r="I283" s="249"/>
      <c r="J283" s="209">
        <f>SUM(J284:J296)</f>
        <v>617000</v>
      </c>
      <c r="K283" s="209">
        <f aca="true" t="shared" si="20" ref="K283:W283">SUM(K284:K296)</f>
        <v>0</v>
      </c>
      <c r="L283" s="209">
        <f t="shared" si="20"/>
        <v>0</v>
      </c>
      <c r="M283" s="209">
        <f t="shared" si="20"/>
        <v>0</v>
      </c>
      <c r="N283" s="209">
        <f t="shared" si="20"/>
        <v>0</v>
      </c>
      <c r="O283" s="209">
        <f t="shared" si="20"/>
        <v>45000</v>
      </c>
      <c r="P283" s="209">
        <f t="shared" si="20"/>
        <v>85000</v>
      </c>
      <c r="Q283" s="209">
        <f t="shared" si="20"/>
        <v>212500</v>
      </c>
      <c r="R283" s="209">
        <f t="shared" si="20"/>
        <v>147500</v>
      </c>
      <c r="S283" s="209">
        <f t="shared" si="20"/>
        <v>94000</v>
      </c>
      <c r="T283" s="209">
        <f t="shared" si="20"/>
        <v>0</v>
      </c>
      <c r="U283" s="209">
        <f t="shared" si="20"/>
        <v>20000</v>
      </c>
      <c r="V283" s="209">
        <f t="shared" si="20"/>
        <v>13000</v>
      </c>
      <c r="W283" s="209">
        <f t="shared" si="20"/>
        <v>587218.54</v>
      </c>
      <c r="X283" s="184">
        <f t="shared" si="18"/>
        <v>29781.459999999963</v>
      </c>
    </row>
    <row r="284" spans="2:24" ht="63">
      <c r="B284" s="308"/>
      <c r="C284" s="308"/>
      <c r="D284" s="289"/>
      <c r="E284" s="31" t="s">
        <v>7</v>
      </c>
      <c r="F284" s="49"/>
      <c r="G284" s="18"/>
      <c r="H284" s="220"/>
      <c r="I284" s="249">
        <v>3110</v>
      </c>
      <c r="J284" s="21">
        <v>82500</v>
      </c>
      <c r="K284" s="49"/>
      <c r="L284" s="49"/>
      <c r="M284" s="49"/>
      <c r="N284" s="49"/>
      <c r="O284" s="49"/>
      <c r="P284" s="49"/>
      <c r="Q284" s="49"/>
      <c r="R284" s="49">
        <v>82500</v>
      </c>
      <c r="S284" s="49"/>
      <c r="T284" s="49"/>
      <c r="U284" s="49"/>
      <c r="V284" s="49"/>
      <c r="W284" s="49">
        <f>75240+7258.46</f>
        <v>82498.46</v>
      </c>
      <c r="X284" s="40">
        <f t="shared" si="18"/>
        <v>1.5399999999935972</v>
      </c>
    </row>
    <row r="285" spans="2:24" ht="47.25" hidden="1">
      <c r="B285" s="308"/>
      <c r="C285" s="308"/>
      <c r="D285" s="289"/>
      <c r="E285" s="31" t="s">
        <v>526</v>
      </c>
      <c r="F285" s="49"/>
      <c r="G285" s="18"/>
      <c r="H285" s="220"/>
      <c r="I285" s="249">
        <v>3110</v>
      </c>
      <c r="J285" s="21">
        <f>82500-60000-22500</f>
        <v>0</v>
      </c>
      <c r="K285" s="49"/>
      <c r="L285" s="49"/>
      <c r="M285" s="49"/>
      <c r="N285" s="49"/>
      <c r="O285" s="49"/>
      <c r="P285" s="49"/>
      <c r="Q285" s="49">
        <v>82500</v>
      </c>
      <c r="R285" s="49">
        <v>-60000</v>
      </c>
      <c r="S285" s="49">
        <v>-22500</v>
      </c>
      <c r="T285" s="49"/>
      <c r="U285" s="49"/>
      <c r="V285" s="49"/>
      <c r="W285" s="49"/>
      <c r="X285" s="40">
        <f t="shared" si="18"/>
        <v>0</v>
      </c>
    </row>
    <row r="286" spans="2:24" ht="47.25">
      <c r="B286" s="308"/>
      <c r="C286" s="308"/>
      <c r="D286" s="289"/>
      <c r="E286" s="31" t="s">
        <v>527</v>
      </c>
      <c r="F286" s="49">
        <v>80000</v>
      </c>
      <c r="G286" s="18">
        <f>100%-((F286-H286)/F286)</f>
        <v>1</v>
      </c>
      <c r="H286" s="220">
        <v>80000</v>
      </c>
      <c r="I286" s="249">
        <v>3132</v>
      </c>
      <c r="J286" s="21">
        <v>80000</v>
      </c>
      <c r="K286" s="49"/>
      <c r="L286" s="49"/>
      <c r="M286" s="49"/>
      <c r="N286" s="49"/>
      <c r="O286" s="49">
        <v>10000</v>
      </c>
      <c r="P286" s="49">
        <v>70000</v>
      </c>
      <c r="Q286" s="49">
        <f>40000-40000</f>
        <v>0</v>
      </c>
      <c r="R286" s="49">
        <f>30000-30000</f>
        <v>0</v>
      </c>
      <c r="S286" s="49"/>
      <c r="T286" s="49"/>
      <c r="U286" s="49"/>
      <c r="V286" s="49"/>
      <c r="W286" s="49">
        <f>816+79183.8</f>
        <v>79999.8</v>
      </c>
      <c r="X286" s="40">
        <f t="shared" si="18"/>
        <v>0.19999999999708962</v>
      </c>
    </row>
    <row r="287" spans="2:24" ht="31.5" hidden="1">
      <c r="B287" s="308"/>
      <c r="C287" s="308"/>
      <c r="D287" s="289"/>
      <c r="E287" s="31" t="s">
        <v>674</v>
      </c>
      <c r="F287" s="49"/>
      <c r="G287" s="18"/>
      <c r="H287" s="220"/>
      <c r="I287" s="249">
        <v>3132</v>
      </c>
      <c r="J287" s="21">
        <f>32000-32000</f>
        <v>0</v>
      </c>
      <c r="K287" s="49"/>
      <c r="L287" s="49"/>
      <c r="M287" s="49"/>
      <c r="N287" s="49"/>
      <c r="O287" s="49"/>
      <c r="P287" s="49"/>
      <c r="Q287" s="49"/>
      <c r="R287" s="49"/>
      <c r="S287" s="49">
        <v>32000</v>
      </c>
      <c r="T287" s="49"/>
      <c r="U287" s="49"/>
      <c r="V287" s="49">
        <v>-32000</v>
      </c>
      <c r="W287" s="49"/>
      <c r="X287" s="40">
        <f t="shared" si="18"/>
        <v>0</v>
      </c>
    </row>
    <row r="288" spans="2:24" ht="63">
      <c r="B288" s="308"/>
      <c r="C288" s="308"/>
      <c r="D288" s="289"/>
      <c r="E288" s="31" t="s">
        <v>123</v>
      </c>
      <c r="F288" s="49"/>
      <c r="G288" s="18"/>
      <c r="H288" s="220"/>
      <c r="I288" s="249">
        <v>3110</v>
      </c>
      <c r="J288" s="21">
        <v>15000</v>
      </c>
      <c r="K288" s="49"/>
      <c r="L288" s="49"/>
      <c r="M288" s="49"/>
      <c r="N288" s="49"/>
      <c r="O288" s="49"/>
      <c r="P288" s="49">
        <v>15000</v>
      </c>
      <c r="Q288" s="49"/>
      <c r="R288" s="49"/>
      <c r="S288" s="49"/>
      <c r="T288" s="49"/>
      <c r="U288" s="49"/>
      <c r="V288" s="49"/>
      <c r="W288" s="49">
        <v>15000</v>
      </c>
      <c r="X288" s="40">
        <f t="shared" si="18"/>
        <v>0</v>
      </c>
    </row>
    <row r="289" spans="2:24" ht="63" hidden="1">
      <c r="B289" s="308"/>
      <c r="C289" s="308"/>
      <c r="D289" s="289"/>
      <c r="E289" s="31" t="s">
        <v>615</v>
      </c>
      <c r="F289" s="49"/>
      <c r="G289" s="18"/>
      <c r="H289" s="220"/>
      <c r="I289" s="249">
        <v>3132</v>
      </c>
      <c r="J289" s="21">
        <f>60000-60000</f>
        <v>0</v>
      </c>
      <c r="K289" s="49"/>
      <c r="L289" s="49"/>
      <c r="M289" s="49"/>
      <c r="N289" s="49"/>
      <c r="O289" s="49">
        <v>10000</v>
      </c>
      <c r="P289" s="49"/>
      <c r="Q289" s="49">
        <v>30000</v>
      </c>
      <c r="R289" s="49">
        <v>20000</v>
      </c>
      <c r="S289" s="49"/>
      <c r="T289" s="49"/>
      <c r="U289" s="49">
        <v>-60000</v>
      </c>
      <c r="V289" s="49"/>
      <c r="W289" s="49"/>
      <c r="X289" s="40">
        <f t="shared" si="18"/>
        <v>0</v>
      </c>
    </row>
    <row r="290" spans="2:24" ht="63">
      <c r="B290" s="308"/>
      <c r="C290" s="308"/>
      <c r="D290" s="289"/>
      <c r="E290" s="31" t="s">
        <v>397</v>
      </c>
      <c r="F290" s="49"/>
      <c r="G290" s="18"/>
      <c r="H290" s="220"/>
      <c r="I290" s="249">
        <v>3132</v>
      </c>
      <c r="J290" s="21">
        <f>150000-45000</f>
        <v>105000</v>
      </c>
      <c r="K290" s="49"/>
      <c r="L290" s="49"/>
      <c r="M290" s="49"/>
      <c r="N290" s="49"/>
      <c r="O290" s="49">
        <v>10000</v>
      </c>
      <c r="P290" s="49"/>
      <c r="Q290" s="49">
        <v>50000</v>
      </c>
      <c r="R290" s="49"/>
      <c r="S290" s="49"/>
      <c r="T290" s="49"/>
      <c r="U290" s="49"/>
      <c r="V290" s="49">
        <f>90000-45000</f>
        <v>45000</v>
      </c>
      <c r="W290" s="49">
        <f>1071.6+49746+49746+1582</f>
        <v>102145.6</v>
      </c>
      <c r="X290" s="40">
        <f t="shared" si="18"/>
        <v>2854.399999999994</v>
      </c>
    </row>
    <row r="291" spans="2:24" ht="63" hidden="1">
      <c r="B291" s="308"/>
      <c r="C291" s="308"/>
      <c r="D291" s="289"/>
      <c r="E291" s="31" t="s">
        <v>398</v>
      </c>
      <c r="F291" s="49"/>
      <c r="G291" s="18"/>
      <c r="H291" s="220"/>
      <c r="I291" s="249">
        <v>3132</v>
      </c>
      <c r="J291" s="21">
        <f>150000+60000-117000-93000</f>
        <v>0</v>
      </c>
      <c r="K291" s="49"/>
      <c r="L291" s="49"/>
      <c r="M291" s="49"/>
      <c r="N291" s="49"/>
      <c r="O291" s="49">
        <v>10000</v>
      </c>
      <c r="P291" s="49"/>
      <c r="Q291" s="49">
        <v>50000</v>
      </c>
      <c r="R291" s="49">
        <f>45000+60000</f>
        <v>105000</v>
      </c>
      <c r="S291" s="49">
        <f>45000-117000-93000</f>
        <v>-165000</v>
      </c>
      <c r="T291" s="49"/>
      <c r="U291" s="49"/>
      <c r="V291" s="49"/>
      <c r="W291" s="49"/>
      <c r="X291" s="40">
        <f t="shared" si="18"/>
        <v>0</v>
      </c>
    </row>
    <row r="292" spans="2:24" ht="47.25">
      <c r="B292" s="308"/>
      <c r="C292" s="308"/>
      <c r="D292" s="289"/>
      <c r="E292" s="31" t="s">
        <v>211</v>
      </c>
      <c r="F292" s="49"/>
      <c r="G292" s="18"/>
      <c r="H292" s="220"/>
      <c r="I292" s="249">
        <v>3110</v>
      </c>
      <c r="J292" s="21">
        <v>92500</v>
      </c>
      <c r="K292" s="49"/>
      <c r="L292" s="49"/>
      <c r="M292" s="49"/>
      <c r="N292" s="49"/>
      <c r="O292" s="49"/>
      <c r="P292" s="49"/>
      <c r="Q292" s="49"/>
      <c r="R292" s="49"/>
      <c r="S292" s="49">
        <v>92500</v>
      </c>
      <c r="T292" s="49"/>
      <c r="U292" s="49"/>
      <c r="V292" s="49"/>
      <c r="W292" s="49">
        <f>80396.88</f>
        <v>80396.88</v>
      </c>
      <c r="X292" s="40">
        <f t="shared" si="18"/>
        <v>12103.119999999995</v>
      </c>
    </row>
    <row r="293" spans="2:24" ht="31.5">
      <c r="B293" s="308"/>
      <c r="C293" s="308"/>
      <c r="D293" s="289"/>
      <c r="E293" s="31" t="s">
        <v>972</v>
      </c>
      <c r="F293" s="49"/>
      <c r="G293" s="18"/>
      <c r="H293" s="220"/>
      <c r="I293" s="249">
        <v>3132</v>
      </c>
      <c r="J293" s="21">
        <v>45000</v>
      </c>
      <c r="K293" s="49"/>
      <c r="L293" s="49"/>
      <c r="M293" s="49"/>
      <c r="N293" s="49"/>
      <c r="O293" s="49"/>
      <c r="P293" s="49"/>
      <c r="Q293" s="49"/>
      <c r="R293" s="49"/>
      <c r="S293" s="49">
        <v>45000</v>
      </c>
      <c r="T293" s="49"/>
      <c r="U293" s="49"/>
      <c r="V293" s="49"/>
      <c r="W293" s="49">
        <f>27070.4+3500</f>
        <v>30570.4</v>
      </c>
      <c r="X293" s="40">
        <f t="shared" si="18"/>
        <v>14429.599999999999</v>
      </c>
    </row>
    <row r="294" spans="2:24" ht="31.5">
      <c r="B294" s="308"/>
      <c r="C294" s="308"/>
      <c r="D294" s="289"/>
      <c r="E294" s="31" t="s">
        <v>676</v>
      </c>
      <c r="F294" s="49"/>
      <c r="G294" s="18"/>
      <c r="H294" s="220"/>
      <c r="I294" s="249">
        <v>3132</v>
      </c>
      <c r="J294" s="21">
        <v>112000</v>
      </c>
      <c r="K294" s="49"/>
      <c r="L294" s="49"/>
      <c r="M294" s="49"/>
      <c r="N294" s="49"/>
      <c r="O294" s="49"/>
      <c r="P294" s="49"/>
      <c r="Q294" s="49"/>
      <c r="R294" s="49"/>
      <c r="S294" s="49">
        <v>112000</v>
      </c>
      <c r="T294" s="49"/>
      <c r="U294" s="49"/>
      <c r="V294" s="49"/>
      <c r="W294" s="49">
        <v>111974.4</v>
      </c>
      <c r="X294" s="40">
        <f t="shared" si="18"/>
        <v>25.60000000000582</v>
      </c>
    </row>
    <row r="295" spans="2:24" ht="31.5">
      <c r="B295" s="308"/>
      <c r="C295" s="308"/>
      <c r="D295" s="289"/>
      <c r="E295" s="31" t="s">
        <v>142</v>
      </c>
      <c r="F295" s="49"/>
      <c r="G295" s="18"/>
      <c r="H295" s="220"/>
      <c r="I295" s="249">
        <v>3132</v>
      </c>
      <c r="J295" s="21">
        <v>80000</v>
      </c>
      <c r="K295" s="49"/>
      <c r="L295" s="49"/>
      <c r="M295" s="49"/>
      <c r="N295" s="49"/>
      <c r="O295" s="49"/>
      <c r="P295" s="49"/>
      <c r="Q295" s="49"/>
      <c r="R295" s="49"/>
      <c r="S295" s="49"/>
      <c r="T295" s="49"/>
      <c r="U295" s="49">
        <v>80000</v>
      </c>
      <c r="V295" s="49"/>
      <c r="W295" s="49">
        <v>79633</v>
      </c>
      <c r="X295" s="40">
        <f t="shared" si="18"/>
        <v>367</v>
      </c>
    </row>
    <row r="296" spans="2:24" ht="31.5">
      <c r="B296" s="303"/>
      <c r="C296" s="303"/>
      <c r="D296" s="290"/>
      <c r="E296" s="31" t="s">
        <v>350</v>
      </c>
      <c r="F296" s="49">
        <v>5000</v>
      </c>
      <c r="G296" s="18">
        <f>100%-((F296-H296)/F296)</f>
        <v>1</v>
      </c>
      <c r="H296" s="220">
        <f>F296</f>
        <v>5000</v>
      </c>
      <c r="I296" s="249">
        <v>3132</v>
      </c>
      <c r="J296" s="21">
        <v>5000</v>
      </c>
      <c r="K296" s="49"/>
      <c r="L296" s="49"/>
      <c r="M296" s="49"/>
      <c r="N296" s="49"/>
      <c r="O296" s="49">
        <v>5000</v>
      </c>
      <c r="P296" s="49"/>
      <c r="Q296" s="49"/>
      <c r="R296" s="49"/>
      <c r="S296" s="49"/>
      <c r="T296" s="49"/>
      <c r="U296" s="49"/>
      <c r="V296" s="49"/>
      <c r="W296" s="49">
        <v>5000</v>
      </c>
      <c r="X296" s="40">
        <f t="shared" si="18"/>
        <v>0</v>
      </c>
    </row>
    <row r="297" spans="2:24" ht="15.75" customHeight="1">
      <c r="B297" s="302" t="s">
        <v>948</v>
      </c>
      <c r="C297" s="302" t="s">
        <v>783</v>
      </c>
      <c r="D297" s="288" t="s">
        <v>782</v>
      </c>
      <c r="E297" s="31"/>
      <c r="F297" s="49"/>
      <c r="G297" s="18"/>
      <c r="H297" s="220"/>
      <c r="I297" s="249"/>
      <c r="J297" s="209">
        <f>SUM(J298:J299)</f>
        <v>150000</v>
      </c>
      <c r="K297" s="209">
        <f aca="true" t="shared" si="21" ref="K297:W297">SUM(K298:K299)</f>
        <v>0</v>
      </c>
      <c r="L297" s="209">
        <f t="shared" si="21"/>
        <v>0</v>
      </c>
      <c r="M297" s="209">
        <f t="shared" si="21"/>
        <v>0</v>
      </c>
      <c r="N297" s="209">
        <f t="shared" si="21"/>
        <v>0</v>
      </c>
      <c r="O297" s="209">
        <f t="shared" si="21"/>
        <v>0</v>
      </c>
      <c r="P297" s="209">
        <f t="shared" si="21"/>
        <v>35000</v>
      </c>
      <c r="Q297" s="209">
        <f t="shared" si="21"/>
        <v>45000</v>
      </c>
      <c r="R297" s="209">
        <f t="shared" si="21"/>
        <v>70000</v>
      </c>
      <c r="S297" s="209">
        <f t="shared" si="21"/>
        <v>0</v>
      </c>
      <c r="T297" s="209">
        <f t="shared" si="21"/>
        <v>0</v>
      </c>
      <c r="U297" s="209">
        <f t="shared" si="21"/>
        <v>0</v>
      </c>
      <c r="V297" s="209">
        <f t="shared" si="21"/>
        <v>0</v>
      </c>
      <c r="W297" s="209">
        <f t="shared" si="21"/>
        <v>140519</v>
      </c>
      <c r="X297" s="184">
        <f t="shared" si="18"/>
        <v>9481</v>
      </c>
    </row>
    <row r="298" spans="2:24" ht="31.5">
      <c r="B298" s="308"/>
      <c r="C298" s="308"/>
      <c r="D298" s="289"/>
      <c r="E298" s="72" t="s">
        <v>399</v>
      </c>
      <c r="F298" s="49">
        <v>167000</v>
      </c>
      <c r="G298" s="18">
        <f>100%-((F298-H298)/F298)</f>
        <v>1</v>
      </c>
      <c r="H298" s="220">
        <f>F298</f>
        <v>167000</v>
      </c>
      <c r="I298" s="249">
        <v>3110</v>
      </c>
      <c r="J298" s="21">
        <v>70000</v>
      </c>
      <c r="K298" s="49"/>
      <c r="L298" s="49"/>
      <c r="M298" s="49"/>
      <c r="N298" s="49"/>
      <c r="O298" s="49"/>
      <c r="P298" s="49"/>
      <c r="Q298" s="49"/>
      <c r="R298" s="49">
        <v>70000</v>
      </c>
      <c r="S298" s="49"/>
      <c r="T298" s="49"/>
      <c r="U298" s="49"/>
      <c r="V298" s="49"/>
      <c r="W298" s="49">
        <f>29037+31482</f>
        <v>60519</v>
      </c>
      <c r="X298" s="40">
        <f t="shared" si="18"/>
        <v>9481</v>
      </c>
    </row>
    <row r="299" spans="2:24" ht="15.75">
      <c r="B299" s="303"/>
      <c r="C299" s="303"/>
      <c r="D299" s="290"/>
      <c r="E299" s="72" t="s">
        <v>936</v>
      </c>
      <c r="F299" s="49"/>
      <c r="G299" s="18"/>
      <c r="H299" s="220"/>
      <c r="I299" s="249">
        <v>3110</v>
      </c>
      <c r="J299" s="21">
        <v>80000</v>
      </c>
      <c r="K299" s="49"/>
      <c r="L299" s="49"/>
      <c r="M299" s="49"/>
      <c r="N299" s="49"/>
      <c r="O299" s="49"/>
      <c r="P299" s="49">
        <v>35000</v>
      </c>
      <c r="Q299" s="49">
        <v>45000</v>
      </c>
      <c r="R299" s="49">
        <f>45000-45000</f>
        <v>0</v>
      </c>
      <c r="S299" s="49"/>
      <c r="T299" s="49"/>
      <c r="U299" s="49"/>
      <c r="V299" s="49"/>
      <c r="W299" s="49">
        <v>80000</v>
      </c>
      <c r="X299" s="40">
        <f t="shared" si="18"/>
        <v>0</v>
      </c>
    </row>
    <row r="300" spans="2:24" ht="15.75">
      <c r="B300" s="302" t="s">
        <v>785</v>
      </c>
      <c r="C300" s="302" t="s">
        <v>784</v>
      </c>
      <c r="D300" s="288" t="s">
        <v>493</v>
      </c>
      <c r="E300" s="47"/>
      <c r="F300" s="45"/>
      <c r="G300" s="46"/>
      <c r="H300" s="216"/>
      <c r="I300" s="249"/>
      <c r="J300" s="210">
        <f>SUM(J301:J303)</f>
        <v>415500</v>
      </c>
      <c r="K300" s="210">
        <f aca="true" t="shared" si="22" ref="K300:W300">SUM(K301:K303)</f>
        <v>0</v>
      </c>
      <c r="L300" s="210">
        <f t="shared" si="22"/>
        <v>0</v>
      </c>
      <c r="M300" s="210">
        <f t="shared" si="22"/>
        <v>0</v>
      </c>
      <c r="N300" s="210">
        <f t="shared" si="22"/>
        <v>0</v>
      </c>
      <c r="O300" s="210">
        <f t="shared" si="22"/>
        <v>110000</v>
      </c>
      <c r="P300" s="210">
        <f t="shared" si="22"/>
        <v>-4500</v>
      </c>
      <c r="Q300" s="210">
        <f t="shared" si="22"/>
        <v>190000</v>
      </c>
      <c r="R300" s="210">
        <f t="shared" si="22"/>
        <v>70000</v>
      </c>
      <c r="S300" s="210">
        <f t="shared" si="22"/>
        <v>0</v>
      </c>
      <c r="T300" s="210">
        <f t="shared" si="22"/>
        <v>0</v>
      </c>
      <c r="U300" s="210">
        <f t="shared" si="22"/>
        <v>0</v>
      </c>
      <c r="V300" s="210">
        <f t="shared" si="22"/>
        <v>50000</v>
      </c>
      <c r="W300" s="210">
        <f t="shared" si="22"/>
        <v>375872</v>
      </c>
      <c r="X300" s="184">
        <f t="shared" si="18"/>
        <v>39628</v>
      </c>
    </row>
    <row r="301" spans="2:24" ht="47.25">
      <c r="B301" s="308"/>
      <c r="C301" s="308"/>
      <c r="D301" s="289"/>
      <c r="E301" s="31" t="s">
        <v>400</v>
      </c>
      <c r="F301" s="49">
        <v>51000</v>
      </c>
      <c r="G301" s="18">
        <f>100%-((F301-H301)/F301)</f>
        <v>1</v>
      </c>
      <c r="H301" s="220">
        <f>F301</f>
        <v>51000</v>
      </c>
      <c r="I301" s="249">
        <v>3132</v>
      </c>
      <c r="J301" s="21">
        <v>50000</v>
      </c>
      <c r="K301" s="49"/>
      <c r="L301" s="49"/>
      <c r="M301" s="49"/>
      <c r="N301" s="49"/>
      <c r="O301" s="49">
        <v>10000</v>
      </c>
      <c r="P301" s="49"/>
      <c r="Q301" s="49">
        <v>20000</v>
      </c>
      <c r="R301" s="49">
        <v>20000</v>
      </c>
      <c r="S301" s="49"/>
      <c r="T301" s="49"/>
      <c r="U301" s="49"/>
      <c r="V301" s="49"/>
      <c r="W301" s="49">
        <f>4500+10500</f>
        <v>15000</v>
      </c>
      <c r="X301" s="40">
        <f t="shared" si="18"/>
        <v>35000</v>
      </c>
    </row>
    <row r="302" spans="2:24" ht="47.25">
      <c r="B302" s="308"/>
      <c r="C302" s="308"/>
      <c r="D302" s="289"/>
      <c r="E302" s="31" t="s">
        <v>363</v>
      </c>
      <c r="F302" s="49"/>
      <c r="G302" s="18"/>
      <c r="H302" s="220"/>
      <c r="I302" s="249">
        <v>3132</v>
      </c>
      <c r="J302" s="21">
        <v>320000</v>
      </c>
      <c r="K302" s="49"/>
      <c r="L302" s="49"/>
      <c r="M302" s="49"/>
      <c r="N302" s="49"/>
      <c r="O302" s="49">
        <v>100000</v>
      </c>
      <c r="P302" s="49">
        <v>-50000</v>
      </c>
      <c r="Q302" s="49">
        <f>120000+50000</f>
        <v>170000</v>
      </c>
      <c r="R302" s="49">
        <v>50000</v>
      </c>
      <c r="S302" s="49"/>
      <c r="T302" s="49"/>
      <c r="U302" s="49"/>
      <c r="V302" s="49">
        <v>50000</v>
      </c>
      <c r="W302" s="49">
        <f>2250+5250+215600+92314</f>
        <v>315414</v>
      </c>
      <c r="X302" s="40">
        <f t="shared" si="18"/>
        <v>4586</v>
      </c>
    </row>
    <row r="303" spans="2:24" ht="63">
      <c r="B303" s="303"/>
      <c r="C303" s="303"/>
      <c r="D303" s="290"/>
      <c r="E303" s="31" t="s">
        <v>364</v>
      </c>
      <c r="F303" s="49"/>
      <c r="G303" s="18"/>
      <c r="H303" s="220"/>
      <c r="I303" s="249">
        <v>3110</v>
      </c>
      <c r="J303" s="21">
        <v>45500</v>
      </c>
      <c r="K303" s="49"/>
      <c r="L303" s="49"/>
      <c r="M303" s="49"/>
      <c r="N303" s="49"/>
      <c r="O303" s="49"/>
      <c r="P303" s="49">
        <v>45500</v>
      </c>
      <c r="Q303" s="49"/>
      <c r="R303" s="49"/>
      <c r="S303" s="49"/>
      <c r="T303" s="49"/>
      <c r="U303" s="49"/>
      <c r="V303" s="49"/>
      <c r="W303" s="49">
        <f>13900+8190+20490+2878</f>
        <v>45458</v>
      </c>
      <c r="X303" s="40">
        <f t="shared" si="18"/>
        <v>42</v>
      </c>
    </row>
    <row r="304" spans="2:24" ht="15.75">
      <c r="B304" s="291" t="s">
        <v>786</v>
      </c>
      <c r="C304" s="291" t="s">
        <v>789</v>
      </c>
      <c r="D304" s="288" t="s">
        <v>949</v>
      </c>
      <c r="E304" s="70"/>
      <c r="F304" s="45"/>
      <c r="G304" s="46"/>
      <c r="H304" s="216"/>
      <c r="I304" s="249"/>
      <c r="J304" s="185">
        <f>SUM(J305:J312)</f>
        <v>508916.26</v>
      </c>
      <c r="K304" s="185">
        <f aca="true" t="shared" si="23" ref="K304:W304">SUM(K305:K312)</f>
        <v>0</v>
      </c>
      <c r="L304" s="185">
        <f t="shared" si="23"/>
        <v>97516.26</v>
      </c>
      <c r="M304" s="185">
        <f t="shared" si="23"/>
        <v>0</v>
      </c>
      <c r="N304" s="185">
        <f t="shared" si="23"/>
        <v>0</v>
      </c>
      <c r="O304" s="185">
        <f t="shared" si="23"/>
        <v>10000</v>
      </c>
      <c r="P304" s="185">
        <f t="shared" si="23"/>
        <v>0</v>
      </c>
      <c r="Q304" s="185">
        <f t="shared" si="23"/>
        <v>55000</v>
      </c>
      <c r="R304" s="185">
        <f t="shared" si="23"/>
        <v>61400</v>
      </c>
      <c r="S304" s="185">
        <f t="shared" si="23"/>
        <v>130000</v>
      </c>
      <c r="T304" s="185">
        <f t="shared" si="23"/>
        <v>0</v>
      </c>
      <c r="U304" s="185">
        <f t="shared" si="23"/>
        <v>135000</v>
      </c>
      <c r="V304" s="185">
        <f t="shared" si="23"/>
        <v>20000</v>
      </c>
      <c r="W304" s="185">
        <f t="shared" si="23"/>
        <v>482688.66000000003</v>
      </c>
      <c r="X304" s="184">
        <f t="shared" si="18"/>
        <v>26227.599999999977</v>
      </c>
    </row>
    <row r="305" spans="2:24" ht="63">
      <c r="B305" s="292"/>
      <c r="C305" s="292"/>
      <c r="D305" s="289"/>
      <c r="E305" s="47" t="s">
        <v>118</v>
      </c>
      <c r="F305" s="45"/>
      <c r="G305" s="46"/>
      <c r="H305" s="216"/>
      <c r="I305" s="249">
        <v>3110</v>
      </c>
      <c r="J305" s="9">
        <v>13575</v>
      </c>
      <c r="K305" s="49"/>
      <c r="L305" s="9">
        <v>13575</v>
      </c>
      <c r="M305" s="49"/>
      <c r="N305" s="49"/>
      <c r="O305" s="49"/>
      <c r="P305" s="49"/>
      <c r="Q305" s="49"/>
      <c r="R305" s="49"/>
      <c r="S305" s="49"/>
      <c r="T305" s="49"/>
      <c r="U305" s="49"/>
      <c r="V305" s="49"/>
      <c r="W305" s="49">
        <v>13575</v>
      </c>
      <c r="X305" s="40">
        <f t="shared" si="18"/>
        <v>0</v>
      </c>
    </row>
    <row r="306" spans="2:24" ht="78.75">
      <c r="B306" s="292"/>
      <c r="C306" s="292"/>
      <c r="D306" s="289"/>
      <c r="E306" s="47" t="s">
        <v>602</v>
      </c>
      <c r="F306" s="45"/>
      <c r="G306" s="46"/>
      <c r="H306" s="216"/>
      <c r="I306" s="249">
        <v>3132</v>
      </c>
      <c r="J306" s="9">
        <v>4524</v>
      </c>
      <c r="K306" s="49"/>
      <c r="L306" s="9">
        <v>4524</v>
      </c>
      <c r="M306" s="49"/>
      <c r="N306" s="49"/>
      <c r="O306" s="49"/>
      <c r="P306" s="49"/>
      <c r="Q306" s="49"/>
      <c r="R306" s="49"/>
      <c r="S306" s="49"/>
      <c r="T306" s="49"/>
      <c r="U306" s="49"/>
      <c r="V306" s="49"/>
      <c r="W306" s="49">
        <v>4524</v>
      </c>
      <c r="X306" s="40">
        <f t="shared" si="18"/>
        <v>0</v>
      </c>
    </row>
    <row r="307" spans="2:24" ht="63">
      <c r="B307" s="292"/>
      <c r="C307" s="292"/>
      <c r="D307" s="289"/>
      <c r="E307" s="47" t="s">
        <v>603</v>
      </c>
      <c r="F307" s="45"/>
      <c r="G307" s="46"/>
      <c r="H307" s="216"/>
      <c r="I307" s="249">
        <v>3132</v>
      </c>
      <c r="J307" s="9">
        <v>51713.7</v>
      </c>
      <c r="K307" s="49"/>
      <c r="L307" s="9">
        <v>51713.7</v>
      </c>
      <c r="M307" s="49"/>
      <c r="N307" s="49"/>
      <c r="O307" s="49"/>
      <c r="P307" s="49"/>
      <c r="Q307" s="49"/>
      <c r="R307" s="49"/>
      <c r="S307" s="49"/>
      <c r="T307" s="49"/>
      <c r="U307" s="49"/>
      <c r="V307" s="49"/>
      <c r="W307" s="49">
        <v>51713.7</v>
      </c>
      <c r="X307" s="40">
        <f t="shared" si="18"/>
        <v>0</v>
      </c>
    </row>
    <row r="308" spans="2:24" ht="63">
      <c r="B308" s="292"/>
      <c r="C308" s="292"/>
      <c r="D308" s="289"/>
      <c r="E308" s="47" t="s">
        <v>616</v>
      </c>
      <c r="F308" s="45"/>
      <c r="G308" s="46"/>
      <c r="H308" s="216"/>
      <c r="I308" s="249">
        <v>3110</v>
      </c>
      <c r="J308" s="9">
        <v>27703.56</v>
      </c>
      <c r="K308" s="49"/>
      <c r="L308" s="9">
        <v>27703.56</v>
      </c>
      <c r="M308" s="49"/>
      <c r="N308" s="49"/>
      <c r="O308" s="49"/>
      <c r="P308" s="49"/>
      <c r="Q308" s="49"/>
      <c r="R308" s="49"/>
      <c r="S308" s="49"/>
      <c r="T308" s="49"/>
      <c r="U308" s="49"/>
      <c r="V308" s="49"/>
      <c r="W308" s="49">
        <v>27703.56</v>
      </c>
      <c r="X308" s="40">
        <f t="shared" si="18"/>
        <v>0</v>
      </c>
    </row>
    <row r="309" spans="2:24" ht="47.25">
      <c r="B309" s="292"/>
      <c r="C309" s="292"/>
      <c r="D309" s="289"/>
      <c r="E309" s="47" t="s">
        <v>470</v>
      </c>
      <c r="F309" s="45"/>
      <c r="G309" s="46"/>
      <c r="H309" s="216"/>
      <c r="I309" s="249">
        <v>3132</v>
      </c>
      <c r="J309" s="9">
        <f>150000+150000</f>
        <v>300000</v>
      </c>
      <c r="K309" s="49"/>
      <c r="L309" s="49"/>
      <c r="M309" s="49"/>
      <c r="N309" s="49"/>
      <c r="O309" s="49">
        <v>10000</v>
      </c>
      <c r="P309" s="49"/>
      <c r="Q309" s="49">
        <v>55000</v>
      </c>
      <c r="R309" s="49">
        <f>50000</f>
        <v>50000</v>
      </c>
      <c r="S309" s="49">
        <v>30000</v>
      </c>
      <c r="T309" s="49"/>
      <c r="U309" s="49">
        <v>135000</v>
      </c>
      <c r="V309" s="49">
        <f>85000+100000-30000-135000</f>
        <v>20000</v>
      </c>
      <c r="W309" s="49">
        <f>11902+130058.5+130058.5+4305</f>
        <v>276324</v>
      </c>
      <c r="X309" s="40">
        <f t="shared" si="18"/>
        <v>23676</v>
      </c>
    </row>
    <row r="310" spans="2:24" ht="47.25">
      <c r="B310" s="292"/>
      <c r="C310" s="292"/>
      <c r="D310" s="289"/>
      <c r="E310" s="47" t="s">
        <v>673</v>
      </c>
      <c r="F310" s="45"/>
      <c r="G310" s="46"/>
      <c r="H310" s="216"/>
      <c r="I310" s="249">
        <v>3132</v>
      </c>
      <c r="J310" s="9">
        <f>100000-30000</f>
        <v>70000</v>
      </c>
      <c r="K310" s="49"/>
      <c r="L310" s="49"/>
      <c r="M310" s="49"/>
      <c r="N310" s="49"/>
      <c r="O310" s="49"/>
      <c r="P310" s="49"/>
      <c r="Q310" s="49"/>
      <c r="R310" s="49"/>
      <c r="S310" s="49">
        <v>100000</v>
      </c>
      <c r="T310" s="49"/>
      <c r="U310" s="49">
        <v>-30000</v>
      </c>
      <c r="V310" s="49"/>
      <c r="W310" s="49">
        <f>47633.6+20414.4+1195</f>
        <v>69243</v>
      </c>
      <c r="X310" s="40">
        <f t="shared" si="18"/>
        <v>757</v>
      </c>
    </row>
    <row r="311" spans="2:24" ht="47.25">
      <c r="B311" s="292"/>
      <c r="C311" s="292"/>
      <c r="D311" s="289"/>
      <c r="E311" s="47" t="s">
        <v>29</v>
      </c>
      <c r="F311" s="45"/>
      <c r="G311" s="46"/>
      <c r="H311" s="216"/>
      <c r="I311" s="249">
        <v>3132</v>
      </c>
      <c r="J311" s="9">
        <v>30000</v>
      </c>
      <c r="K311" s="49"/>
      <c r="L311" s="49"/>
      <c r="M311" s="49"/>
      <c r="N311" s="49"/>
      <c r="O311" s="49"/>
      <c r="P311" s="49"/>
      <c r="Q311" s="49"/>
      <c r="R311" s="49"/>
      <c r="S311" s="49"/>
      <c r="T311" s="49"/>
      <c r="U311" s="49">
        <v>30000</v>
      </c>
      <c r="V311" s="49"/>
      <c r="W311" s="49">
        <f>20592.6+8825.4+459</f>
        <v>29877</v>
      </c>
      <c r="X311" s="40">
        <f t="shared" si="18"/>
        <v>123</v>
      </c>
    </row>
    <row r="312" spans="2:24" ht="47.25">
      <c r="B312" s="293"/>
      <c r="C312" s="293"/>
      <c r="D312" s="290"/>
      <c r="E312" s="47" t="s">
        <v>469</v>
      </c>
      <c r="F312" s="45"/>
      <c r="G312" s="46"/>
      <c r="H312" s="216"/>
      <c r="I312" s="249">
        <v>3110</v>
      </c>
      <c r="J312" s="9">
        <v>11400</v>
      </c>
      <c r="K312" s="49"/>
      <c r="L312" s="49"/>
      <c r="M312" s="49"/>
      <c r="N312" s="49"/>
      <c r="O312" s="49"/>
      <c r="P312" s="49"/>
      <c r="Q312" s="49"/>
      <c r="R312" s="49">
        <v>11400</v>
      </c>
      <c r="S312" s="49"/>
      <c r="T312" s="49"/>
      <c r="U312" s="49"/>
      <c r="V312" s="49"/>
      <c r="W312" s="49">
        <f>9728.4</f>
        <v>9728.4</v>
      </c>
      <c r="X312" s="40">
        <f t="shared" si="18"/>
        <v>1671.6000000000004</v>
      </c>
    </row>
    <row r="313" spans="2:24" ht="15.75">
      <c r="B313" s="302" t="s">
        <v>787</v>
      </c>
      <c r="C313" s="302" t="s">
        <v>790</v>
      </c>
      <c r="D313" s="288" t="s">
        <v>357</v>
      </c>
      <c r="E313" s="78"/>
      <c r="F313" s="71"/>
      <c r="G313" s="79"/>
      <c r="H313" s="221"/>
      <c r="I313" s="249"/>
      <c r="J313" s="210">
        <f>SUM(J314:J317)</f>
        <v>608600</v>
      </c>
      <c r="K313" s="210">
        <f aca="true" t="shared" si="24" ref="K313:W313">SUM(K314:K317)</f>
        <v>0</v>
      </c>
      <c r="L313" s="210">
        <f t="shared" si="24"/>
        <v>0</v>
      </c>
      <c r="M313" s="210">
        <f t="shared" si="24"/>
        <v>0</v>
      </c>
      <c r="N313" s="210">
        <f t="shared" si="24"/>
        <v>0</v>
      </c>
      <c r="O313" s="210">
        <f t="shared" si="24"/>
        <v>278600</v>
      </c>
      <c r="P313" s="210">
        <f t="shared" si="24"/>
        <v>0</v>
      </c>
      <c r="Q313" s="210">
        <f t="shared" si="24"/>
        <v>340000</v>
      </c>
      <c r="R313" s="210">
        <f t="shared" si="24"/>
        <v>20000</v>
      </c>
      <c r="S313" s="210">
        <f t="shared" si="24"/>
        <v>115000</v>
      </c>
      <c r="T313" s="210">
        <f t="shared" si="24"/>
        <v>0</v>
      </c>
      <c r="U313" s="210">
        <f t="shared" si="24"/>
        <v>-200000</v>
      </c>
      <c r="V313" s="210">
        <f t="shared" si="24"/>
        <v>55000</v>
      </c>
      <c r="W313" s="210">
        <f t="shared" si="24"/>
        <v>477788.3</v>
      </c>
      <c r="X313" s="184">
        <f t="shared" si="18"/>
        <v>130811.70000000001</v>
      </c>
    </row>
    <row r="314" spans="2:24" ht="47.25">
      <c r="B314" s="308"/>
      <c r="C314" s="308"/>
      <c r="D314" s="289"/>
      <c r="E314" s="31" t="s">
        <v>134</v>
      </c>
      <c r="F314" s="49">
        <v>50000</v>
      </c>
      <c r="G314" s="18">
        <f>100%-((F314-H314)/F314)</f>
        <v>1</v>
      </c>
      <c r="H314" s="220">
        <v>50000</v>
      </c>
      <c r="I314" s="249">
        <v>3132</v>
      </c>
      <c r="J314" s="21">
        <v>50000</v>
      </c>
      <c r="K314" s="49"/>
      <c r="L314" s="49"/>
      <c r="M314" s="49"/>
      <c r="N314" s="49"/>
      <c r="O314" s="49">
        <v>10000</v>
      </c>
      <c r="P314" s="49"/>
      <c r="Q314" s="49">
        <v>20000</v>
      </c>
      <c r="R314" s="49">
        <v>20000</v>
      </c>
      <c r="S314" s="49"/>
      <c r="T314" s="49"/>
      <c r="U314" s="49"/>
      <c r="V314" s="49"/>
      <c r="W314" s="49">
        <f>3650+13399.4+663+1941.6</f>
        <v>19654</v>
      </c>
      <c r="X314" s="40">
        <f t="shared" si="18"/>
        <v>30346</v>
      </c>
    </row>
    <row r="315" spans="2:24" ht="47.25">
      <c r="B315" s="308"/>
      <c r="C315" s="308"/>
      <c r="D315" s="289"/>
      <c r="E315" s="31" t="s">
        <v>135</v>
      </c>
      <c r="F315" s="49"/>
      <c r="G315" s="18"/>
      <c r="H315" s="220"/>
      <c r="I315" s="249">
        <v>3132</v>
      </c>
      <c r="J315" s="21">
        <f>500000-200000</f>
        <v>300000</v>
      </c>
      <c r="K315" s="49"/>
      <c r="L315" s="49"/>
      <c r="M315" s="49"/>
      <c r="N315" s="49"/>
      <c r="O315" s="49">
        <v>10000</v>
      </c>
      <c r="P315" s="49"/>
      <c r="Q315" s="49">
        <v>320000</v>
      </c>
      <c r="R315" s="49"/>
      <c r="S315" s="49">
        <v>115000</v>
      </c>
      <c r="T315" s="49"/>
      <c r="U315" s="49">
        <v>-200000</v>
      </c>
      <c r="V315" s="49">
        <v>55000</v>
      </c>
      <c r="W315" s="49">
        <f>13570+181628.3+4385</f>
        <v>199583.3</v>
      </c>
      <c r="X315" s="40">
        <f t="shared" si="18"/>
        <v>100416.70000000001</v>
      </c>
    </row>
    <row r="316" spans="2:24" ht="47.25">
      <c r="B316" s="308"/>
      <c r="C316" s="308"/>
      <c r="D316" s="289"/>
      <c r="E316" s="31" t="s">
        <v>270</v>
      </c>
      <c r="F316" s="49"/>
      <c r="G316" s="18"/>
      <c r="H316" s="220"/>
      <c r="I316" s="249">
        <v>3110</v>
      </c>
      <c r="J316" s="21">
        <v>5700</v>
      </c>
      <c r="K316" s="49"/>
      <c r="L316" s="49"/>
      <c r="M316" s="49"/>
      <c r="N316" s="49"/>
      <c r="O316" s="49">
        <v>5700</v>
      </c>
      <c r="P316" s="49"/>
      <c r="Q316" s="49"/>
      <c r="R316" s="49"/>
      <c r="S316" s="49"/>
      <c r="T316" s="49"/>
      <c r="U316" s="49"/>
      <c r="V316" s="49"/>
      <c r="W316" s="49">
        <v>5700</v>
      </c>
      <c r="X316" s="40">
        <f t="shared" si="18"/>
        <v>0</v>
      </c>
    </row>
    <row r="317" spans="2:24" ht="47.25">
      <c r="B317" s="303"/>
      <c r="C317" s="303"/>
      <c r="D317" s="290"/>
      <c r="E317" s="31" t="s">
        <v>271</v>
      </c>
      <c r="F317" s="49">
        <v>252900</v>
      </c>
      <c r="G317" s="18">
        <f>100%-((F317-H317)/F317)</f>
        <v>1</v>
      </c>
      <c r="H317" s="220">
        <f>F317</f>
        <v>252900</v>
      </c>
      <c r="I317" s="249">
        <v>3110</v>
      </c>
      <c r="J317" s="49">
        <v>252900</v>
      </c>
      <c r="K317" s="49"/>
      <c r="L317" s="49"/>
      <c r="M317" s="49"/>
      <c r="N317" s="49"/>
      <c r="O317" s="49">
        <v>252900</v>
      </c>
      <c r="P317" s="49"/>
      <c r="Q317" s="49"/>
      <c r="R317" s="49"/>
      <c r="S317" s="49"/>
      <c r="T317" s="49"/>
      <c r="U317" s="49"/>
      <c r="V317" s="49"/>
      <c r="W317" s="49">
        <f>91800+68255+68998+23798</f>
        <v>252851</v>
      </c>
      <c r="X317" s="40">
        <f t="shared" si="18"/>
        <v>49</v>
      </c>
    </row>
    <row r="318" spans="2:24" ht="15.75">
      <c r="B318" s="291" t="s">
        <v>788</v>
      </c>
      <c r="C318" s="291" t="s">
        <v>79</v>
      </c>
      <c r="D318" s="288" t="s">
        <v>78</v>
      </c>
      <c r="E318" s="70"/>
      <c r="F318" s="45"/>
      <c r="G318" s="46"/>
      <c r="H318" s="216"/>
      <c r="I318" s="249"/>
      <c r="J318" s="185">
        <f>SUM(J319:J341)</f>
        <v>2517795.76</v>
      </c>
      <c r="K318" s="185">
        <f aca="true" t="shared" si="25" ref="K318:W318">SUM(K319:K341)</f>
        <v>0</v>
      </c>
      <c r="L318" s="185">
        <f t="shared" si="25"/>
        <v>137358.11</v>
      </c>
      <c r="M318" s="185">
        <f t="shared" si="25"/>
        <v>0</v>
      </c>
      <c r="N318" s="185">
        <f t="shared" si="25"/>
        <v>7700</v>
      </c>
      <c r="O318" s="185">
        <f t="shared" si="25"/>
        <v>120000</v>
      </c>
      <c r="P318" s="185">
        <f t="shared" si="25"/>
        <v>-10000</v>
      </c>
      <c r="Q318" s="185">
        <f t="shared" si="25"/>
        <v>590000</v>
      </c>
      <c r="R318" s="185">
        <f t="shared" si="25"/>
        <v>597900</v>
      </c>
      <c r="S318" s="185">
        <f t="shared" si="25"/>
        <v>797000</v>
      </c>
      <c r="T318" s="185">
        <f t="shared" si="25"/>
        <v>20000</v>
      </c>
      <c r="U318" s="185">
        <f t="shared" si="25"/>
        <v>-62162.350000000006</v>
      </c>
      <c r="V318" s="185">
        <f t="shared" si="25"/>
        <v>320000</v>
      </c>
      <c r="W318" s="185">
        <f t="shared" si="25"/>
        <v>2181089.81</v>
      </c>
      <c r="X318" s="184">
        <f t="shared" si="18"/>
        <v>336705.9499999997</v>
      </c>
    </row>
    <row r="319" spans="2:24" ht="94.5">
      <c r="B319" s="292"/>
      <c r="C319" s="292"/>
      <c r="D319" s="289"/>
      <c r="E319" s="267" t="s">
        <v>980</v>
      </c>
      <c r="F319" s="45"/>
      <c r="G319" s="46"/>
      <c r="H319" s="216"/>
      <c r="I319" s="249">
        <v>3110</v>
      </c>
      <c r="J319" s="9">
        <v>13223</v>
      </c>
      <c r="K319" s="49"/>
      <c r="L319" s="9">
        <v>13223</v>
      </c>
      <c r="M319" s="49"/>
      <c r="N319" s="49"/>
      <c r="O319" s="49"/>
      <c r="P319" s="49"/>
      <c r="Q319" s="49"/>
      <c r="R319" s="49"/>
      <c r="S319" s="49"/>
      <c r="T319" s="49"/>
      <c r="U319" s="49"/>
      <c r="V319" s="49"/>
      <c r="W319" s="49">
        <v>13223</v>
      </c>
      <c r="X319" s="40">
        <f t="shared" si="18"/>
        <v>0</v>
      </c>
    </row>
    <row r="320" spans="2:24" ht="63">
      <c r="B320" s="292"/>
      <c r="C320" s="292"/>
      <c r="D320" s="289"/>
      <c r="E320" s="267" t="s">
        <v>725</v>
      </c>
      <c r="F320" s="45"/>
      <c r="G320" s="46"/>
      <c r="H320" s="216"/>
      <c r="I320" s="249">
        <v>3132</v>
      </c>
      <c r="J320" s="9">
        <v>44244.53</v>
      </c>
      <c r="K320" s="49"/>
      <c r="L320" s="9">
        <v>44244.53</v>
      </c>
      <c r="M320" s="49"/>
      <c r="N320" s="49"/>
      <c r="O320" s="49"/>
      <c r="P320" s="49"/>
      <c r="Q320" s="49"/>
      <c r="R320" s="49"/>
      <c r="S320" s="49"/>
      <c r="T320" s="49"/>
      <c r="U320" s="49"/>
      <c r="V320" s="49"/>
      <c r="W320" s="49">
        <v>44244.53</v>
      </c>
      <c r="X320" s="40">
        <f t="shared" si="18"/>
        <v>0</v>
      </c>
    </row>
    <row r="321" spans="2:24" ht="63">
      <c r="B321" s="292"/>
      <c r="C321" s="292"/>
      <c r="D321" s="289"/>
      <c r="E321" s="267" t="s">
        <v>110</v>
      </c>
      <c r="F321" s="45"/>
      <c r="G321" s="46"/>
      <c r="H321" s="216"/>
      <c r="I321" s="249">
        <v>3132</v>
      </c>
      <c r="J321" s="9">
        <v>3140.76</v>
      </c>
      <c r="K321" s="49"/>
      <c r="L321" s="9">
        <v>3140.76</v>
      </c>
      <c r="M321" s="49"/>
      <c r="N321" s="49"/>
      <c r="O321" s="49"/>
      <c r="P321" s="49"/>
      <c r="Q321" s="49"/>
      <c r="R321" s="49"/>
      <c r="S321" s="49"/>
      <c r="T321" s="49"/>
      <c r="U321" s="49"/>
      <c r="V321" s="49"/>
      <c r="W321" s="49">
        <v>3140.76</v>
      </c>
      <c r="X321" s="40">
        <f t="shared" si="18"/>
        <v>0</v>
      </c>
    </row>
    <row r="322" spans="2:24" ht="63">
      <c r="B322" s="292"/>
      <c r="C322" s="292"/>
      <c r="D322" s="289"/>
      <c r="E322" s="267" t="s">
        <v>111</v>
      </c>
      <c r="F322" s="45"/>
      <c r="G322" s="46"/>
      <c r="H322" s="216"/>
      <c r="I322" s="249">
        <v>3132</v>
      </c>
      <c r="J322" s="9">
        <v>5796.7</v>
      </c>
      <c r="K322" s="49"/>
      <c r="L322" s="9">
        <v>5796.7</v>
      </c>
      <c r="M322" s="49"/>
      <c r="N322" s="49"/>
      <c r="O322" s="49"/>
      <c r="P322" s="49"/>
      <c r="Q322" s="49"/>
      <c r="R322" s="49"/>
      <c r="S322" s="49"/>
      <c r="T322" s="49"/>
      <c r="U322" s="49"/>
      <c r="V322" s="49"/>
      <c r="W322" s="49">
        <v>5796.7</v>
      </c>
      <c r="X322" s="40">
        <f t="shared" si="18"/>
        <v>0</v>
      </c>
    </row>
    <row r="323" spans="2:24" ht="63">
      <c r="B323" s="292"/>
      <c r="C323" s="292"/>
      <c r="D323" s="289"/>
      <c r="E323" s="267" t="s">
        <v>112</v>
      </c>
      <c r="F323" s="45"/>
      <c r="G323" s="46"/>
      <c r="H323" s="216"/>
      <c r="I323" s="249">
        <v>3132</v>
      </c>
      <c r="J323" s="9">
        <v>8984.22</v>
      </c>
      <c r="K323" s="49"/>
      <c r="L323" s="9">
        <v>8984.22</v>
      </c>
      <c r="M323" s="49"/>
      <c r="N323" s="49"/>
      <c r="O323" s="49"/>
      <c r="P323" s="49"/>
      <c r="Q323" s="49"/>
      <c r="R323" s="49"/>
      <c r="S323" s="49"/>
      <c r="T323" s="49"/>
      <c r="U323" s="49"/>
      <c r="V323" s="49"/>
      <c r="W323" s="49">
        <v>8984.22</v>
      </c>
      <c r="X323" s="40">
        <f t="shared" si="18"/>
        <v>0</v>
      </c>
    </row>
    <row r="324" spans="2:24" ht="47.25">
      <c r="B324" s="292"/>
      <c r="C324" s="292"/>
      <c r="D324" s="289"/>
      <c r="E324" s="267" t="s">
        <v>791</v>
      </c>
      <c r="F324" s="45"/>
      <c r="G324" s="46"/>
      <c r="H324" s="216"/>
      <c r="I324" s="249">
        <v>3132</v>
      </c>
      <c r="J324" s="9">
        <v>13955.4</v>
      </c>
      <c r="K324" s="49"/>
      <c r="L324" s="9">
        <v>13955.4</v>
      </c>
      <c r="M324" s="49"/>
      <c r="N324" s="49"/>
      <c r="O324" s="49"/>
      <c r="P324" s="49"/>
      <c r="Q324" s="49"/>
      <c r="R324" s="49"/>
      <c r="S324" s="49"/>
      <c r="T324" s="49"/>
      <c r="U324" s="49"/>
      <c r="V324" s="49"/>
      <c r="W324" s="49">
        <v>13955.4</v>
      </c>
      <c r="X324" s="40">
        <f t="shared" si="18"/>
        <v>0</v>
      </c>
    </row>
    <row r="325" spans="2:24" ht="63">
      <c r="B325" s="292"/>
      <c r="C325" s="292"/>
      <c r="D325" s="289"/>
      <c r="E325" s="267" t="s">
        <v>792</v>
      </c>
      <c r="F325" s="45"/>
      <c r="G325" s="46"/>
      <c r="H325" s="216"/>
      <c r="I325" s="249">
        <v>3132</v>
      </c>
      <c r="J325" s="9">
        <v>4500</v>
      </c>
      <c r="K325" s="49"/>
      <c r="L325" s="9">
        <v>4500</v>
      </c>
      <c r="M325" s="49"/>
      <c r="N325" s="49"/>
      <c r="O325" s="49"/>
      <c r="P325" s="49"/>
      <c r="Q325" s="49"/>
      <c r="R325" s="49"/>
      <c r="S325" s="49"/>
      <c r="T325" s="49"/>
      <c r="U325" s="49"/>
      <c r="V325" s="49"/>
      <c r="W325" s="49">
        <v>4500</v>
      </c>
      <c r="X325" s="40">
        <f t="shared" si="18"/>
        <v>0</v>
      </c>
    </row>
    <row r="326" spans="2:24" ht="63">
      <c r="B326" s="292"/>
      <c r="C326" s="292"/>
      <c r="D326" s="289"/>
      <c r="E326" s="267" t="s">
        <v>198</v>
      </c>
      <c r="F326" s="45"/>
      <c r="G326" s="46"/>
      <c r="H326" s="216"/>
      <c r="I326" s="249">
        <v>3132</v>
      </c>
      <c r="J326" s="9">
        <v>43513.5</v>
      </c>
      <c r="K326" s="49"/>
      <c r="L326" s="9">
        <v>43513.5</v>
      </c>
      <c r="M326" s="49"/>
      <c r="N326" s="49"/>
      <c r="O326" s="49"/>
      <c r="P326" s="49"/>
      <c r="Q326" s="49"/>
      <c r="R326" s="49"/>
      <c r="S326" s="49"/>
      <c r="T326" s="49"/>
      <c r="U326" s="49"/>
      <c r="V326" s="49"/>
      <c r="W326" s="49">
        <v>43513.5</v>
      </c>
      <c r="X326" s="40">
        <f t="shared" si="18"/>
        <v>0</v>
      </c>
    </row>
    <row r="327" spans="2:24" ht="78.75">
      <c r="B327" s="292"/>
      <c r="C327" s="292"/>
      <c r="D327" s="289"/>
      <c r="E327" s="48" t="s">
        <v>0</v>
      </c>
      <c r="F327" s="45"/>
      <c r="G327" s="46"/>
      <c r="H327" s="216"/>
      <c r="I327" s="249">
        <v>3110</v>
      </c>
      <c r="J327" s="9">
        <v>7700</v>
      </c>
      <c r="K327" s="49"/>
      <c r="L327" s="49"/>
      <c r="M327" s="49"/>
      <c r="N327" s="49">
        <v>7700</v>
      </c>
      <c r="O327" s="49"/>
      <c r="P327" s="49"/>
      <c r="Q327" s="49"/>
      <c r="R327" s="49"/>
      <c r="S327" s="49"/>
      <c r="T327" s="49"/>
      <c r="U327" s="49"/>
      <c r="V327" s="49"/>
      <c r="W327" s="49">
        <v>7700</v>
      </c>
      <c r="X327" s="40">
        <f t="shared" si="18"/>
        <v>0</v>
      </c>
    </row>
    <row r="328" spans="2:24" ht="47.25">
      <c r="B328" s="292"/>
      <c r="C328" s="292"/>
      <c r="D328" s="289"/>
      <c r="E328" s="48" t="s">
        <v>738</v>
      </c>
      <c r="F328" s="45"/>
      <c r="G328" s="46"/>
      <c r="H328" s="216"/>
      <c r="I328" s="249">
        <v>3110</v>
      </c>
      <c r="J328" s="9">
        <v>20000</v>
      </c>
      <c r="K328" s="49"/>
      <c r="L328" s="49"/>
      <c r="M328" s="49"/>
      <c r="N328" s="49"/>
      <c r="O328" s="49"/>
      <c r="P328" s="49"/>
      <c r="Q328" s="49"/>
      <c r="R328" s="49"/>
      <c r="S328" s="49"/>
      <c r="T328" s="49">
        <v>20000</v>
      </c>
      <c r="U328" s="49"/>
      <c r="V328" s="49"/>
      <c r="W328" s="49">
        <v>20000</v>
      </c>
      <c r="X328" s="40">
        <f t="shared" si="18"/>
        <v>0</v>
      </c>
    </row>
    <row r="329" spans="2:24" ht="63">
      <c r="B329" s="292"/>
      <c r="C329" s="292"/>
      <c r="D329" s="289"/>
      <c r="E329" s="48" t="s">
        <v>528</v>
      </c>
      <c r="F329" s="45"/>
      <c r="G329" s="46"/>
      <c r="H329" s="216"/>
      <c r="I329" s="249">
        <v>3132</v>
      </c>
      <c r="J329" s="9">
        <f>100000-43000</f>
        <v>57000</v>
      </c>
      <c r="K329" s="49"/>
      <c r="L329" s="49"/>
      <c r="M329" s="49"/>
      <c r="N329" s="49"/>
      <c r="O329" s="49">
        <v>40000</v>
      </c>
      <c r="P329" s="49"/>
      <c r="Q329" s="49">
        <v>60000</v>
      </c>
      <c r="R329" s="49"/>
      <c r="S329" s="49">
        <v>-43000</v>
      </c>
      <c r="T329" s="49"/>
      <c r="U329" s="49"/>
      <c r="V329" s="49"/>
      <c r="W329" s="49">
        <f>16188+37772+540</f>
        <v>54500</v>
      </c>
      <c r="X329" s="40">
        <f t="shared" si="18"/>
        <v>2500</v>
      </c>
    </row>
    <row r="330" spans="2:24" ht="47.25">
      <c r="B330" s="292"/>
      <c r="C330" s="292"/>
      <c r="D330" s="289"/>
      <c r="E330" s="48" t="s">
        <v>529</v>
      </c>
      <c r="F330" s="45"/>
      <c r="G330" s="46"/>
      <c r="H330" s="216"/>
      <c r="I330" s="249">
        <v>3132</v>
      </c>
      <c r="J330" s="9">
        <v>40000</v>
      </c>
      <c r="K330" s="49"/>
      <c r="L330" s="49"/>
      <c r="M330" s="49"/>
      <c r="N330" s="49"/>
      <c r="O330" s="49">
        <v>40000</v>
      </c>
      <c r="P330" s="49"/>
      <c r="Q330" s="49"/>
      <c r="R330" s="49"/>
      <c r="S330" s="49"/>
      <c r="T330" s="49"/>
      <c r="U330" s="49"/>
      <c r="V330" s="49"/>
      <c r="W330" s="49">
        <f>396+29055.6+451</f>
        <v>29902.6</v>
      </c>
      <c r="X330" s="40">
        <f t="shared" si="18"/>
        <v>10097.400000000001</v>
      </c>
    </row>
    <row r="331" spans="2:24" ht="47.25">
      <c r="B331" s="292"/>
      <c r="C331" s="292"/>
      <c r="D331" s="289"/>
      <c r="E331" s="67" t="s">
        <v>530</v>
      </c>
      <c r="F331" s="49">
        <v>708000</v>
      </c>
      <c r="G331" s="18">
        <f>100%-((F331-H331)/F331)</f>
        <v>1</v>
      </c>
      <c r="H331" s="220">
        <v>708000</v>
      </c>
      <c r="I331" s="249">
        <v>3132</v>
      </c>
      <c r="J331" s="21">
        <f>580000-54162.35</f>
        <v>525837.65</v>
      </c>
      <c r="K331" s="49"/>
      <c r="L331" s="49"/>
      <c r="M331" s="49"/>
      <c r="N331" s="49"/>
      <c r="O331" s="49"/>
      <c r="P331" s="49"/>
      <c r="Q331" s="49"/>
      <c r="R331" s="49">
        <f>180000+200000</f>
        <v>380000</v>
      </c>
      <c r="S331" s="49">
        <f>400000-200000</f>
        <v>200000</v>
      </c>
      <c r="T331" s="49"/>
      <c r="U331" s="49">
        <v>-54162.35</v>
      </c>
      <c r="V331" s="49"/>
      <c r="W331" s="49">
        <f>11639.48-11639.48+456917.3-120917.3+116547+5877.2</f>
        <v>458424.2</v>
      </c>
      <c r="X331" s="40">
        <f t="shared" si="18"/>
        <v>67413.45000000001</v>
      </c>
    </row>
    <row r="332" spans="2:24" ht="47.25">
      <c r="B332" s="292"/>
      <c r="C332" s="292"/>
      <c r="D332" s="289"/>
      <c r="E332" s="31" t="s">
        <v>125</v>
      </c>
      <c r="F332" s="49">
        <v>500000</v>
      </c>
      <c r="G332" s="18">
        <f>100%-((F332-H332)/F332)</f>
        <v>1</v>
      </c>
      <c r="H332" s="220">
        <f>F332</f>
        <v>500000</v>
      </c>
      <c r="I332" s="249">
        <v>3132</v>
      </c>
      <c r="J332" s="21">
        <v>500000</v>
      </c>
      <c r="K332" s="49"/>
      <c r="L332" s="49"/>
      <c r="M332" s="49"/>
      <c r="N332" s="49"/>
      <c r="O332" s="49">
        <v>10000</v>
      </c>
      <c r="P332" s="49"/>
      <c r="Q332" s="49">
        <v>170000</v>
      </c>
      <c r="R332" s="49">
        <v>100000</v>
      </c>
      <c r="S332" s="49"/>
      <c r="T332" s="49"/>
      <c r="U332" s="49">
        <v>70000</v>
      </c>
      <c r="V332" s="49">
        <f>220000-70000</f>
        <v>150000</v>
      </c>
      <c r="W332" s="49">
        <f>7121.52+1818.9+11247.9+9429+10834-11247.9+1320+11639.48+243973.8+2632.95</f>
        <v>288769.64999999997</v>
      </c>
      <c r="X332" s="40">
        <f t="shared" si="18"/>
        <v>211230.35000000003</v>
      </c>
    </row>
    <row r="333" spans="2:24" ht="78.75" hidden="1">
      <c r="B333" s="292"/>
      <c r="C333" s="292"/>
      <c r="D333" s="289"/>
      <c r="E333" s="31" t="s">
        <v>505</v>
      </c>
      <c r="F333" s="49"/>
      <c r="G333" s="18"/>
      <c r="H333" s="220"/>
      <c r="I333" s="249">
        <v>3110</v>
      </c>
      <c r="J333" s="21">
        <f>22900-22900</f>
        <v>0</v>
      </c>
      <c r="K333" s="49"/>
      <c r="L333" s="49"/>
      <c r="M333" s="49"/>
      <c r="N333" s="49"/>
      <c r="O333" s="49"/>
      <c r="P333" s="49"/>
      <c r="Q333" s="49"/>
      <c r="R333" s="49">
        <v>22900</v>
      </c>
      <c r="S333" s="49"/>
      <c r="T333" s="49"/>
      <c r="U333" s="49">
        <v>-22900</v>
      </c>
      <c r="V333" s="49"/>
      <c r="W333" s="49"/>
      <c r="X333" s="40">
        <f t="shared" si="18"/>
        <v>0</v>
      </c>
    </row>
    <row r="334" spans="2:24" ht="31.5" hidden="1">
      <c r="B334" s="292"/>
      <c r="C334" s="292"/>
      <c r="D334" s="289"/>
      <c r="E334" s="31" t="s">
        <v>506</v>
      </c>
      <c r="F334" s="49"/>
      <c r="G334" s="18"/>
      <c r="H334" s="220"/>
      <c r="I334" s="249">
        <v>3132</v>
      </c>
      <c r="J334" s="21">
        <f>150000-150000</f>
        <v>0</v>
      </c>
      <c r="K334" s="49"/>
      <c r="L334" s="49"/>
      <c r="M334" s="49"/>
      <c r="N334" s="49"/>
      <c r="O334" s="49">
        <v>10000</v>
      </c>
      <c r="P334" s="49">
        <v>-10000</v>
      </c>
      <c r="Q334" s="49">
        <f>70000-70000</f>
        <v>0</v>
      </c>
      <c r="R334" s="49"/>
      <c r="S334" s="49">
        <f>70000-70000</f>
        <v>0</v>
      </c>
      <c r="T334" s="49"/>
      <c r="U334" s="49"/>
      <c r="V334" s="49"/>
      <c r="W334" s="49"/>
      <c r="X334" s="40">
        <f t="shared" si="18"/>
        <v>0</v>
      </c>
    </row>
    <row r="335" spans="2:24" ht="31.5">
      <c r="B335" s="292"/>
      <c r="C335" s="292"/>
      <c r="D335" s="289"/>
      <c r="E335" s="31" t="s">
        <v>507</v>
      </c>
      <c r="F335" s="49"/>
      <c r="G335" s="18"/>
      <c r="H335" s="220"/>
      <c r="I335" s="249">
        <v>3132</v>
      </c>
      <c r="J335" s="21">
        <f>150000+100000</f>
        <v>250000</v>
      </c>
      <c r="K335" s="49"/>
      <c r="L335" s="49"/>
      <c r="M335" s="49"/>
      <c r="N335" s="49"/>
      <c r="O335" s="49">
        <v>10000</v>
      </c>
      <c r="P335" s="49"/>
      <c r="Q335" s="49">
        <v>70000</v>
      </c>
      <c r="R335" s="49"/>
      <c r="S335" s="49">
        <v>70000</v>
      </c>
      <c r="T335" s="49"/>
      <c r="U335" s="49"/>
      <c r="V335" s="49">
        <v>100000</v>
      </c>
      <c r="W335" s="49">
        <f>9581.39+1320+69549.31+28046.45+38186.4+2438.53+96874.6</f>
        <v>245996.68</v>
      </c>
      <c r="X335" s="40">
        <f t="shared" si="18"/>
        <v>4003.320000000007</v>
      </c>
    </row>
    <row r="336" spans="2:24" ht="31.5">
      <c r="B336" s="292"/>
      <c r="C336" s="292"/>
      <c r="D336" s="289"/>
      <c r="E336" s="31" t="s">
        <v>508</v>
      </c>
      <c r="F336" s="49"/>
      <c r="G336" s="18"/>
      <c r="H336" s="220"/>
      <c r="I336" s="249">
        <v>3110</v>
      </c>
      <c r="J336" s="21">
        <f>50000-2100</f>
        <v>47900</v>
      </c>
      <c r="K336" s="49"/>
      <c r="L336" s="49"/>
      <c r="M336" s="49"/>
      <c r="N336" s="49"/>
      <c r="O336" s="49"/>
      <c r="P336" s="49"/>
      <c r="Q336" s="49"/>
      <c r="R336" s="49">
        <v>50000</v>
      </c>
      <c r="S336" s="49"/>
      <c r="T336" s="49"/>
      <c r="U336" s="49">
        <v>-2100</v>
      </c>
      <c r="V336" s="49"/>
      <c r="W336" s="49">
        <f>31980.6</f>
        <v>31980.6</v>
      </c>
      <c r="X336" s="40">
        <f t="shared" si="18"/>
        <v>15919.400000000001</v>
      </c>
    </row>
    <row r="337" spans="2:24" ht="31.5">
      <c r="B337" s="292"/>
      <c r="C337" s="292"/>
      <c r="D337" s="289"/>
      <c r="E337" s="31" t="s">
        <v>467</v>
      </c>
      <c r="F337" s="49">
        <v>200000</v>
      </c>
      <c r="G337" s="18">
        <f>100%-((F337-H337)/F337)</f>
        <v>1</v>
      </c>
      <c r="H337" s="220">
        <f>F337</f>
        <v>200000</v>
      </c>
      <c r="I337" s="249">
        <v>3110</v>
      </c>
      <c r="J337" s="21">
        <v>200000</v>
      </c>
      <c r="K337" s="49"/>
      <c r="L337" s="49"/>
      <c r="M337" s="49"/>
      <c r="N337" s="49"/>
      <c r="O337" s="49"/>
      <c r="P337" s="49"/>
      <c r="Q337" s="49">
        <v>200000</v>
      </c>
      <c r="R337" s="49"/>
      <c r="S337" s="49"/>
      <c r="T337" s="49"/>
      <c r="U337" s="49"/>
      <c r="V337" s="49"/>
      <c r="W337" s="49">
        <f>50000+8211+21789+40000+40000+40000</f>
        <v>200000</v>
      </c>
      <c r="X337" s="40">
        <f t="shared" si="18"/>
        <v>0</v>
      </c>
    </row>
    <row r="338" spans="2:24" ht="31.5" hidden="1">
      <c r="B338" s="292"/>
      <c r="C338" s="292"/>
      <c r="D338" s="289"/>
      <c r="E338" s="31" t="s">
        <v>765</v>
      </c>
      <c r="F338" s="49"/>
      <c r="G338" s="18"/>
      <c r="H338" s="220"/>
      <c r="I338" s="249">
        <v>3132</v>
      </c>
      <c r="J338" s="21">
        <f>65000-65000</f>
        <v>0</v>
      </c>
      <c r="K338" s="49"/>
      <c r="L338" s="49"/>
      <c r="M338" s="49"/>
      <c r="N338" s="49"/>
      <c r="O338" s="49"/>
      <c r="P338" s="49"/>
      <c r="Q338" s="49">
        <v>20000</v>
      </c>
      <c r="R338" s="49">
        <v>45000</v>
      </c>
      <c r="S338" s="49"/>
      <c r="T338" s="49"/>
      <c r="U338" s="49">
        <v>-65000</v>
      </c>
      <c r="V338" s="49"/>
      <c r="W338" s="49"/>
      <c r="X338" s="40">
        <f t="shared" si="18"/>
        <v>0</v>
      </c>
    </row>
    <row r="339" spans="2:24" ht="31.5">
      <c r="B339" s="292"/>
      <c r="C339" s="292"/>
      <c r="D339" s="289"/>
      <c r="E339" s="31" t="s">
        <v>26</v>
      </c>
      <c r="F339" s="49"/>
      <c r="G339" s="18"/>
      <c r="H339" s="220"/>
      <c r="I339" s="249">
        <v>3110</v>
      </c>
      <c r="J339" s="21">
        <v>25000</v>
      </c>
      <c r="K339" s="49"/>
      <c r="L339" s="49"/>
      <c r="M339" s="49"/>
      <c r="N339" s="49"/>
      <c r="O339" s="49"/>
      <c r="P339" s="49"/>
      <c r="Q339" s="49"/>
      <c r="R339" s="49"/>
      <c r="S339" s="49"/>
      <c r="T339" s="49"/>
      <c r="U339" s="49">
        <v>25000</v>
      </c>
      <c r="V339" s="49"/>
      <c r="W339" s="49">
        <f>4675+12499.98</f>
        <v>17174.98</v>
      </c>
      <c r="X339" s="40">
        <f aca="true" t="shared" si="26" ref="X339:X404">J339-W339</f>
        <v>7825.02</v>
      </c>
    </row>
    <row r="340" spans="2:24" ht="31.5">
      <c r="B340" s="292"/>
      <c r="C340" s="292"/>
      <c r="D340" s="289"/>
      <c r="E340" s="31" t="s">
        <v>758</v>
      </c>
      <c r="F340" s="49"/>
      <c r="G340" s="18"/>
      <c r="H340" s="220"/>
      <c r="I340" s="249">
        <v>3132</v>
      </c>
      <c r="J340" s="21">
        <f>500000+57000</f>
        <v>557000</v>
      </c>
      <c r="K340" s="49"/>
      <c r="L340" s="49"/>
      <c r="M340" s="49"/>
      <c r="N340" s="49"/>
      <c r="O340" s="49"/>
      <c r="P340" s="49"/>
      <c r="Q340" s="49"/>
      <c r="R340" s="49"/>
      <c r="S340" s="49">
        <v>500000</v>
      </c>
      <c r="T340" s="49"/>
      <c r="U340" s="49">
        <f>-70000+57000</f>
        <v>-13000</v>
      </c>
      <c r="V340" s="49">
        <v>70000</v>
      </c>
      <c r="W340" s="49">
        <f>7755.95+1338+23000+350514.5+157846</f>
        <v>540454.45</v>
      </c>
      <c r="X340" s="40">
        <f t="shared" si="26"/>
        <v>16545.550000000047</v>
      </c>
    </row>
    <row r="341" spans="2:24" ht="31.5">
      <c r="B341" s="293"/>
      <c r="C341" s="293"/>
      <c r="D341" s="290"/>
      <c r="E341" s="31" t="s">
        <v>668</v>
      </c>
      <c r="F341" s="49">
        <v>150000</v>
      </c>
      <c r="G341" s="18">
        <f>100%-((F341-H341)/F341)</f>
        <v>1</v>
      </c>
      <c r="H341" s="220">
        <f>F341</f>
        <v>150000</v>
      </c>
      <c r="I341" s="249">
        <v>3132</v>
      </c>
      <c r="J341" s="21">
        <v>150000</v>
      </c>
      <c r="K341" s="49"/>
      <c r="L341" s="49"/>
      <c r="M341" s="49"/>
      <c r="N341" s="49"/>
      <c r="O341" s="49">
        <v>10000</v>
      </c>
      <c r="P341" s="49"/>
      <c r="Q341" s="49">
        <v>70000</v>
      </c>
      <c r="R341" s="49"/>
      <c r="S341" s="49">
        <v>70000</v>
      </c>
      <c r="T341" s="49"/>
      <c r="U341" s="49"/>
      <c r="V341" s="49"/>
      <c r="W341" s="49">
        <f>5357.74+29713+69332+738.4+1929.2+3800+1320+35000+1638.2</f>
        <v>148828.53999999998</v>
      </c>
      <c r="X341" s="40">
        <f t="shared" si="26"/>
        <v>1171.460000000021</v>
      </c>
    </row>
    <row r="342" spans="2:24" ht="15.75">
      <c r="B342" s="291" t="s">
        <v>482</v>
      </c>
      <c r="C342" s="291" t="s">
        <v>80</v>
      </c>
      <c r="D342" s="288" t="s">
        <v>459</v>
      </c>
      <c r="E342" s="70"/>
      <c r="F342" s="45"/>
      <c r="G342" s="46"/>
      <c r="H342" s="216"/>
      <c r="I342" s="249"/>
      <c r="J342" s="185">
        <f>SUM(J343:J343)</f>
        <v>4999.98</v>
      </c>
      <c r="K342" s="185">
        <f aca="true" t="shared" si="27" ref="K342:W342">SUM(K343:K343)</f>
        <v>0</v>
      </c>
      <c r="L342" s="185">
        <f t="shared" si="27"/>
        <v>4999.98</v>
      </c>
      <c r="M342" s="185">
        <f t="shared" si="27"/>
        <v>0</v>
      </c>
      <c r="N342" s="185">
        <f t="shared" si="27"/>
        <v>0</v>
      </c>
      <c r="O342" s="185">
        <f t="shared" si="27"/>
        <v>0</v>
      </c>
      <c r="P342" s="185">
        <f t="shared" si="27"/>
        <v>0</v>
      </c>
      <c r="Q342" s="185">
        <f t="shared" si="27"/>
        <v>0</v>
      </c>
      <c r="R342" s="185">
        <f t="shared" si="27"/>
        <v>0</v>
      </c>
      <c r="S342" s="185">
        <f t="shared" si="27"/>
        <v>0</v>
      </c>
      <c r="T342" s="185">
        <f t="shared" si="27"/>
        <v>0</v>
      </c>
      <c r="U342" s="185">
        <f t="shared" si="27"/>
        <v>0</v>
      </c>
      <c r="V342" s="185">
        <f t="shared" si="27"/>
        <v>0</v>
      </c>
      <c r="W342" s="185">
        <f t="shared" si="27"/>
        <v>4999.98</v>
      </c>
      <c r="X342" s="184">
        <f t="shared" si="26"/>
        <v>0</v>
      </c>
    </row>
    <row r="343" spans="2:24" ht="63">
      <c r="B343" s="293"/>
      <c r="C343" s="293"/>
      <c r="D343" s="290"/>
      <c r="E343" s="70" t="s">
        <v>199</v>
      </c>
      <c r="F343" s="45"/>
      <c r="G343" s="46"/>
      <c r="H343" s="216"/>
      <c r="I343" s="249">
        <v>3110</v>
      </c>
      <c r="J343" s="45">
        <v>4999.98</v>
      </c>
      <c r="K343" s="49"/>
      <c r="L343" s="45">
        <v>4999.98</v>
      </c>
      <c r="M343" s="49"/>
      <c r="N343" s="49"/>
      <c r="O343" s="49"/>
      <c r="P343" s="49"/>
      <c r="Q343" s="49"/>
      <c r="R343" s="49"/>
      <c r="S343" s="49"/>
      <c r="T343" s="49"/>
      <c r="U343" s="49"/>
      <c r="V343" s="49"/>
      <c r="W343" s="49">
        <v>4999.98</v>
      </c>
      <c r="X343" s="40">
        <f t="shared" si="26"/>
        <v>0</v>
      </c>
    </row>
    <row r="344" spans="2:24" ht="15.75">
      <c r="B344" s="291" t="s">
        <v>81</v>
      </c>
      <c r="C344" s="291" t="s">
        <v>84</v>
      </c>
      <c r="D344" s="288" t="s">
        <v>85</v>
      </c>
      <c r="E344" s="70"/>
      <c r="F344" s="45"/>
      <c r="G344" s="46"/>
      <c r="H344" s="216"/>
      <c r="I344" s="249"/>
      <c r="J344" s="185">
        <f>SUM(J345:J360)</f>
        <v>1231203.76</v>
      </c>
      <c r="K344" s="185">
        <f aca="true" t="shared" si="28" ref="K344:W344">SUM(K345:K360)</f>
        <v>0</v>
      </c>
      <c r="L344" s="185">
        <f t="shared" si="28"/>
        <v>257023.76</v>
      </c>
      <c r="M344" s="185">
        <f t="shared" si="28"/>
        <v>0</v>
      </c>
      <c r="N344" s="185">
        <f t="shared" si="28"/>
        <v>0</v>
      </c>
      <c r="O344" s="185">
        <f t="shared" si="28"/>
        <v>203000</v>
      </c>
      <c r="P344" s="185">
        <f t="shared" si="28"/>
        <v>130000</v>
      </c>
      <c r="Q344" s="185">
        <f t="shared" si="28"/>
        <v>470000</v>
      </c>
      <c r="R344" s="185">
        <f t="shared" si="28"/>
        <v>357500</v>
      </c>
      <c r="S344" s="185">
        <f t="shared" si="28"/>
        <v>-71320</v>
      </c>
      <c r="T344" s="185">
        <f t="shared" si="28"/>
        <v>10000</v>
      </c>
      <c r="U344" s="185">
        <f t="shared" si="28"/>
        <v>-80000</v>
      </c>
      <c r="V344" s="185">
        <f t="shared" si="28"/>
        <v>-45000</v>
      </c>
      <c r="W344" s="185">
        <f t="shared" si="28"/>
        <v>1103606.98</v>
      </c>
      <c r="X344" s="184">
        <f t="shared" si="26"/>
        <v>127596.78000000003</v>
      </c>
    </row>
    <row r="345" spans="2:24" ht="63">
      <c r="B345" s="292"/>
      <c r="C345" s="292"/>
      <c r="D345" s="289"/>
      <c r="E345" s="267" t="s">
        <v>173</v>
      </c>
      <c r="F345" s="45"/>
      <c r="G345" s="46"/>
      <c r="H345" s="216"/>
      <c r="I345" s="249">
        <v>3132</v>
      </c>
      <c r="J345" s="9">
        <v>134745.8</v>
      </c>
      <c r="K345" s="49"/>
      <c r="L345" s="9">
        <v>134745.8</v>
      </c>
      <c r="M345" s="49"/>
      <c r="N345" s="49"/>
      <c r="O345" s="49"/>
      <c r="P345" s="49"/>
      <c r="Q345" s="49"/>
      <c r="R345" s="49"/>
      <c r="S345" s="49"/>
      <c r="T345" s="49"/>
      <c r="U345" s="49"/>
      <c r="V345" s="49"/>
      <c r="W345" s="49">
        <v>134745.8</v>
      </c>
      <c r="X345" s="40">
        <f t="shared" si="26"/>
        <v>0</v>
      </c>
    </row>
    <row r="346" spans="2:24" ht="78.75">
      <c r="B346" s="292"/>
      <c r="C346" s="292"/>
      <c r="D346" s="289"/>
      <c r="E346" s="267" t="s">
        <v>197</v>
      </c>
      <c r="F346" s="45"/>
      <c r="G346" s="46"/>
      <c r="H346" s="216"/>
      <c r="I346" s="249">
        <v>3132</v>
      </c>
      <c r="J346" s="9">
        <v>122277.96</v>
      </c>
      <c r="K346" s="49"/>
      <c r="L346" s="9">
        <v>122277.96</v>
      </c>
      <c r="M346" s="49"/>
      <c r="N346" s="49"/>
      <c r="O346" s="49"/>
      <c r="P346" s="49"/>
      <c r="Q346" s="49"/>
      <c r="R346" s="49"/>
      <c r="S346" s="49"/>
      <c r="T346" s="49"/>
      <c r="U346" s="49"/>
      <c r="V346" s="49"/>
      <c r="W346" s="49">
        <v>122277.96</v>
      </c>
      <c r="X346" s="40">
        <f t="shared" si="26"/>
        <v>0</v>
      </c>
    </row>
    <row r="347" spans="2:24" ht="78.75">
      <c r="B347" s="292"/>
      <c r="C347" s="292"/>
      <c r="D347" s="289"/>
      <c r="E347" s="48" t="s">
        <v>651</v>
      </c>
      <c r="F347" s="45"/>
      <c r="G347" s="46"/>
      <c r="H347" s="216"/>
      <c r="I347" s="249">
        <v>3110</v>
      </c>
      <c r="J347" s="9">
        <v>68000</v>
      </c>
      <c r="K347" s="49"/>
      <c r="L347" s="49"/>
      <c r="M347" s="49"/>
      <c r="N347" s="49"/>
      <c r="O347" s="49">
        <v>68000</v>
      </c>
      <c r="P347" s="49"/>
      <c r="Q347" s="49"/>
      <c r="R347" s="49"/>
      <c r="S347" s="49"/>
      <c r="T347" s="49"/>
      <c r="U347" s="49"/>
      <c r="V347" s="49"/>
      <c r="W347" s="49">
        <v>68000</v>
      </c>
      <c r="X347" s="40">
        <f t="shared" si="26"/>
        <v>0</v>
      </c>
    </row>
    <row r="348" spans="2:24" ht="78.75">
      <c r="B348" s="292"/>
      <c r="C348" s="292"/>
      <c r="D348" s="289"/>
      <c r="E348" s="48" t="s">
        <v>109</v>
      </c>
      <c r="F348" s="45"/>
      <c r="G348" s="46"/>
      <c r="H348" s="216"/>
      <c r="I348" s="249">
        <v>3110</v>
      </c>
      <c r="J348" s="9">
        <v>60000</v>
      </c>
      <c r="K348" s="49"/>
      <c r="L348" s="49"/>
      <c r="M348" s="49"/>
      <c r="N348" s="49"/>
      <c r="O348" s="49"/>
      <c r="P348" s="49">
        <v>60000</v>
      </c>
      <c r="Q348" s="49"/>
      <c r="R348" s="49"/>
      <c r="S348" s="49"/>
      <c r="T348" s="49"/>
      <c r="U348" s="49"/>
      <c r="V348" s="49"/>
      <c r="W348" s="49">
        <v>60000</v>
      </c>
      <c r="X348" s="40">
        <f t="shared" si="26"/>
        <v>0</v>
      </c>
    </row>
    <row r="349" spans="2:24" ht="47.25">
      <c r="B349" s="292"/>
      <c r="C349" s="292"/>
      <c r="D349" s="289"/>
      <c r="E349" s="67" t="s">
        <v>669</v>
      </c>
      <c r="F349" s="49">
        <v>125000</v>
      </c>
      <c r="G349" s="18">
        <f>100%-((F349-H349)/F349)</f>
        <v>0.64</v>
      </c>
      <c r="H349" s="220">
        <v>80000</v>
      </c>
      <c r="I349" s="249">
        <v>3132</v>
      </c>
      <c r="J349" s="21">
        <f>80000+25000</f>
        <v>105000</v>
      </c>
      <c r="K349" s="49"/>
      <c r="L349" s="49"/>
      <c r="M349" s="49"/>
      <c r="N349" s="49"/>
      <c r="O349" s="49">
        <v>35000</v>
      </c>
      <c r="P349" s="49"/>
      <c r="Q349" s="49">
        <v>45000</v>
      </c>
      <c r="R349" s="49">
        <f>25000</f>
        <v>25000</v>
      </c>
      <c r="S349" s="49"/>
      <c r="T349" s="49"/>
      <c r="U349" s="49"/>
      <c r="V349" s="49"/>
      <c r="W349" s="49">
        <f>10140.3+369.2+50935.3+1130.4+32439+5101.4+500</f>
        <v>100615.6</v>
      </c>
      <c r="X349" s="40">
        <f t="shared" si="26"/>
        <v>4384.399999999994</v>
      </c>
    </row>
    <row r="350" spans="2:24" ht="47.25">
      <c r="B350" s="292"/>
      <c r="C350" s="292"/>
      <c r="D350" s="289"/>
      <c r="E350" s="67" t="s">
        <v>415</v>
      </c>
      <c r="F350" s="49">
        <v>15000</v>
      </c>
      <c r="G350" s="18">
        <f>100%-((F350-H350)/F350)</f>
        <v>1</v>
      </c>
      <c r="H350" s="220">
        <v>15000</v>
      </c>
      <c r="I350" s="249">
        <v>3132</v>
      </c>
      <c r="J350" s="21">
        <f>15000-1320</f>
        <v>13680</v>
      </c>
      <c r="K350" s="49"/>
      <c r="L350" s="49"/>
      <c r="M350" s="49"/>
      <c r="N350" s="49"/>
      <c r="O350" s="49">
        <v>15000</v>
      </c>
      <c r="P350" s="49"/>
      <c r="Q350" s="49"/>
      <c r="R350" s="49"/>
      <c r="S350" s="49">
        <v>-1320</v>
      </c>
      <c r="T350" s="49"/>
      <c r="U350" s="49"/>
      <c r="V350" s="49"/>
      <c r="W350" s="49">
        <f>11936.82</f>
        <v>11936.82</v>
      </c>
      <c r="X350" s="40">
        <f t="shared" si="26"/>
        <v>1743.1800000000003</v>
      </c>
    </row>
    <row r="351" spans="2:24" ht="47.25">
      <c r="B351" s="292"/>
      <c r="C351" s="292"/>
      <c r="D351" s="289"/>
      <c r="E351" s="67" t="s">
        <v>719</v>
      </c>
      <c r="F351" s="49"/>
      <c r="G351" s="18"/>
      <c r="H351" s="220"/>
      <c r="I351" s="249">
        <v>3132</v>
      </c>
      <c r="J351" s="21">
        <f>150000-125000-20000</f>
        <v>5000</v>
      </c>
      <c r="K351" s="49"/>
      <c r="L351" s="49"/>
      <c r="M351" s="49"/>
      <c r="N351" s="49"/>
      <c r="O351" s="49">
        <v>10000</v>
      </c>
      <c r="P351" s="49"/>
      <c r="Q351" s="49">
        <v>55000</v>
      </c>
      <c r="R351" s="49">
        <f>85000-125000</f>
        <v>-40000</v>
      </c>
      <c r="S351" s="49"/>
      <c r="T351" s="49"/>
      <c r="U351" s="49"/>
      <c r="V351" s="49">
        <v>-20000</v>
      </c>
      <c r="W351" s="49"/>
      <c r="X351" s="40">
        <f t="shared" si="26"/>
        <v>5000</v>
      </c>
    </row>
    <row r="352" spans="2:24" ht="31.5">
      <c r="B352" s="292"/>
      <c r="C352" s="292"/>
      <c r="D352" s="289"/>
      <c r="E352" s="31" t="s">
        <v>970</v>
      </c>
      <c r="F352" s="49">
        <v>80000</v>
      </c>
      <c r="G352" s="18">
        <f aca="true" t="shared" si="29" ref="G352:G360">100%-((F352-H352)/F352)</f>
        <v>1</v>
      </c>
      <c r="H352" s="220">
        <f aca="true" t="shared" si="30" ref="H352:H360">F352</f>
        <v>80000</v>
      </c>
      <c r="I352" s="249">
        <v>3132</v>
      </c>
      <c r="J352" s="21">
        <v>80000</v>
      </c>
      <c r="K352" s="49"/>
      <c r="L352" s="49"/>
      <c r="M352" s="49"/>
      <c r="N352" s="49"/>
      <c r="O352" s="49">
        <v>10000</v>
      </c>
      <c r="P352" s="49"/>
      <c r="Q352" s="49">
        <v>40000</v>
      </c>
      <c r="R352" s="49">
        <v>30000</v>
      </c>
      <c r="S352" s="49"/>
      <c r="T352" s="49"/>
      <c r="U352" s="49"/>
      <c r="V352" s="49"/>
      <c r="W352" s="49">
        <f>2511.27+48300</f>
        <v>50811.27</v>
      </c>
      <c r="X352" s="40">
        <f t="shared" si="26"/>
        <v>29188.730000000003</v>
      </c>
    </row>
    <row r="353" spans="2:24" ht="47.25">
      <c r="B353" s="292"/>
      <c r="C353" s="292"/>
      <c r="D353" s="289"/>
      <c r="E353" s="31" t="s">
        <v>309</v>
      </c>
      <c r="F353" s="49">
        <v>50000</v>
      </c>
      <c r="G353" s="18">
        <f t="shared" si="29"/>
        <v>1</v>
      </c>
      <c r="H353" s="220">
        <f t="shared" si="30"/>
        <v>50000</v>
      </c>
      <c r="I353" s="249">
        <v>3132</v>
      </c>
      <c r="J353" s="21">
        <v>50000</v>
      </c>
      <c r="K353" s="49"/>
      <c r="L353" s="49"/>
      <c r="M353" s="49"/>
      <c r="N353" s="49"/>
      <c r="O353" s="49">
        <v>10000</v>
      </c>
      <c r="P353" s="49"/>
      <c r="Q353" s="49">
        <v>20000</v>
      </c>
      <c r="R353" s="49">
        <v>20000</v>
      </c>
      <c r="S353" s="49"/>
      <c r="T353" s="49"/>
      <c r="U353" s="49"/>
      <c r="V353" s="49"/>
      <c r="W353" s="49">
        <f>1789.2+10034.43+28490</f>
        <v>40313.630000000005</v>
      </c>
      <c r="X353" s="40">
        <f t="shared" si="26"/>
        <v>9686.369999999995</v>
      </c>
    </row>
    <row r="354" spans="2:24" ht="63">
      <c r="B354" s="292"/>
      <c r="C354" s="292"/>
      <c r="D354" s="289"/>
      <c r="E354" s="31" t="s">
        <v>234</v>
      </c>
      <c r="F354" s="49"/>
      <c r="G354" s="18"/>
      <c r="H354" s="220"/>
      <c r="I354" s="249">
        <v>3132</v>
      </c>
      <c r="J354" s="21">
        <f>25000+10000</f>
        <v>35000</v>
      </c>
      <c r="K354" s="49"/>
      <c r="L354" s="49"/>
      <c r="M354" s="49"/>
      <c r="N354" s="49"/>
      <c r="O354" s="49">
        <v>25000</v>
      </c>
      <c r="P354" s="49"/>
      <c r="Q354" s="49"/>
      <c r="R354" s="49"/>
      <c r="S354" s="49"/>
      <c r="T354" s="49">
        <v>10000</v>
      </c>
      <c r="U354" s="49"/>
      <c r="V354" s="49"/>
      <c r="W354" s="49">
        <f>396+19117.2+7500+400</f>
        <v>27413.2</v>
      </c>
      <c r="X354" s="40">
        <f t="shared" si="26"/>
        <v>7586.799999999999</v>
      </c>
    </row>
    <row r="355" spans="2:24" ht="31.5" hidden="1">
      <c r="B355" s="292"/>
      <c r="C355" s="292"/>
      <c r="D355" s="289"/>
      <c r="E355" s="31" t="s">
        <v>235</v>
      </c>
      <c r="F355" s="49"/>
      <c r="G355" s="18"/>
      <c r="H355" s="220"/>
      <c r="I355" s="249">
        <v>3110</v>
      </c>
      <c r="J355" s="21">
        <f>70000-70000</f>
        <v>0</v>
      </c>
      <c r="K355" s="49"/>
      <c r="L355" s="49"/>
      <c r="M355" s="49"/>
      <c r="N355" s="49"/>
      <c r="O355" s="49"/>
      <c r="P355" s="49">
        <v>70000</v>
      </c>
      <c r="Q355" s="49"/>
      <c r="R355" s="49"/>
      <c r="S355" s="49">
        <v>-70000</v>
      </c>
      <c r="T355" s="49"/>
      <c r="U355" s="49"/>
      <c r="V355" s="49"/>
      <c r="W355" s="49"/>
      <c r="X355" s="40">
        <f t="shared" si="26"/>
        <v>0</v>
      </c>
    </row>
    <row r="356" spans="2:24" ht="31.5">
      <c r="B356" s="292"/>
      <c r="C356" s="292"/>
      <c r="D356" s="289"/>
      <c r="E356" s="31" t="s">
        <v>874</v>
      </c>
      <c r="F356" s="49">
        <v>80000</v>
      </c>
      <c r="G356" s="18">
        <f t="shared" si="29"/>
        <v>1</v>
      </c>
      <c r="H356" s="220">
        <f t="shared" si="30"/>
        <v>80000</v>
      </c>
      <c r="I356" s="249">
        <v>3132</v>
      </c>
      <c r="J356" s="21">
        <v>80000</v>
      </c>
      <c r="K356" s="49"/>
      <c r="L356" s="49"/>
      <c r="M356" s="49"/>
      <c r="N356" s="49"/>
      <c r="O356" s="49">
        <v>10000</v>
      </c>
      <c r="P356" s="49"/>
      <c r="Q356" s="49">
        <v>40000</v>
      </c>
      <c r="R356" s="49">
        <v>30000</v>
      </c>
      <c r="S356" s="49"/>
      <c r="T356" s="49"/>
      <c r="U356" s="49"/>
      <c r="V356" s="49"/>
      <c r="W356" s="49">
        <f>2511.27+5859.63+48239.8</f>
        <v>56610.700000000004</v>
      </c>
      <c r="X356" s="40">
        <f t="shared" si="26"/>
        <v>23389.299999999996</v>
      </c>
    </row>
    <row r="357" spans="2:24" ht="31.5">
      <c r="B357" s="292"/>
      <c r="C357" s="292"/>
      <c r="D357" s="289"/>
      <c r="E357" s="31" t="s">
        <v>875</v>
      </c>
      <c r="F357" s="49"/>
      <c r="G357" s="18"/>
      <c r="H357" s="220"/>
      <c r="I357" s="249">
        <v>3110</v>
      </c>
      <c r="J357" s="21">
        <v>400000</v>
      </c>
      <c r="K357" s="49"/>
      <c r="L357" s="49"/>
      <c r="M357" s="49"/>
      <c r="N357" s="49"/>
      <c r="O357" s="49"/>
      <c r="P357" s="49"/>
      <c r="Q357" s="49">
        <v>200000</v>
      </c>
      <c r="R357" s="49">
        <v>200000</v>
      </c>
      <c r="S357" s="49"/>
      <c r="T357" s="49"/>
      <c r="U357" s="49"/>
      <c r="V357" s="49"/>
      <c r="W357" s="49">
        <f>85000+21518+7950+253290+13700+13920</f>
        <v>395378</v>
      </c>
      <c r="X357" s="40">
        <f t="shared" si="26"/>
        <v>4622</v>
      </c>
    </row>
    <row r="358" spans="2:24" ht="47.25" hidden="1">
      <c r="B358" s="292"/>
      <c r="C358" s="292"/>
      <c r="D358" s="289"/>
      <c r="E358" s="31" t="s">
        <v>302</v>
      </c>
      <c r="F358" s="49"/>
      <c r="G358" s="18"/>
      <c r="H358" s="220"/>
      <c r="I358" s="249">
        <v>3132</v>
      </c>
      <c r="J358" s="21">
        <f>50000-25000-25000</f>
        <v>0</v>
      </c>
      <c r="K358" s="49"/>
      <c r="L358" s="49"/>
      <c r="M358" s="49"/>
      <c r="N358" s="49"/>
      <c r="O358" s="49">
        <v>10000</v>
      </c>
      <c r="P358" s="49"/>
      <c r="Q358" s="49">
        <v>20000</v>
      </c>
      <c r="R358" s="49">
        <f>20000-25000</f>
        <v>-5000</v>
      </c>
      <c r="S358" s="49"/>
      <c r="T358" s="49"/>
      <c r="U358" s="49"/>
      <c r="V358" s="49">
        <v>-25000</v>
      </c>
      <c r="W358" s="49"/>
      <c r="X358" s="40">
        <f t="shared" si="26"/>
        <v>0</v>
      </c>
    </row>
    <row r="359" spans="2:24" ht="31.5">
      <c r="B359" s="292"/>
      <c r="C359" s="292"/>
      <c r="D359" s="289"/>
      <c r="E359" s="31" t="s">
        <v>765</v>
      </c>
      <c r="F359" s="49"/>
      <c r="G359" s="18"/>
      <c r="H359" s="220"/>
      <c r="I359" s="249">
        <v>3132</v>
      </c>
      <c r="J359" s="21">
        <f>107500-80000</f>
        <v>27500</v>
      </c>
      <c r="K359" s="49"/>
      <c r="L359" s="49"/>
      <c r="M359" s="49"/>
      <c r="N359" s="49"/>
      <c r="O359" s="49"/>
      <c r="P359" s="49"/>
      <c r="Q359" s="49">
        <v>30000</v>
      </c>
      <c r="R359" s="49">
        <v>77500</v>
      </c>
      <c r="S359" s="49"/>
      <c r="T359" s="49"/>
      <c r="U359" s="49">
        <v>-80000</v>
      </c>
      <c r="V359" s="49"/>
      <c r="W359" s="49"/>
      <c r="X359" s="40">
        <f t="shared" si="26"/>
        <v>27500</v>
      </c>
    </row>
    <row r="360" spans="2:24" ht="47.25">
      <c r="B360" s="292"/>
      <c r="C360" s="292"/>
      <c r="D360" s="289"/>
      <c r="E360" s="31" t="s">
        <v>303</v>
      </c>
      <c r="F360" s="49">
        <v>50000</v>
      </c>
      <c r="G360" s="18">
        <f t="shared" si="29"/>
        <v>1</v>
      </c>
      <c r="H360" s="220">
        <f t="shared" si="30"/>
        <v>50000</v>
      </c>
      <c r="I360" s="249">
        <v>3132</v>
      </c>
      <c r="J360" s="21">
        <v>50000</v>
      </c>
      <c r="K360" s="49"/>
      <c r="L360" s="49"/>
      <c r="M360" s="49"/>
      <c r="N360" s="49"/>
      <c r="O360" s="49">
        <v>10000</v>
      </c>
      <c r="P360" s="49"/>
      <c r="Q360" s="49">
        <v>20000</v>
      </c>
      <c r="R360" s="49">
        <v>20000</v>
      </c>
      <c r="S360" s="49"/>
      <c r="T360" s="49"/>
      <c r="U360" s="49"/>
      <c r="V360" s="49"/>
      <c r="W360" s="49">
        <f>1789.2+4174.8+29540</f>
        <v>35504</v>
      </c>
      <c r="X360" s="40">
        <f t="shared" si="26"/>
        <v>14496</v>
      </c>
    </row>
    <row r="361" spans="2:24" ht="15.75">
      <c r="B361" s="291" t="s">
        <v>83</v>
      </c>
      <c r="C361" s="291" t="s">
        <v>84</v>
      </c>
      <c r="D361" s="288" t="s">
        <v>87</v>
      </c>
      <c r="E361" s="70"/>
      <c r="F361" s="45"/>
      <c r="G361" s="46"/>
      <c r="H361" s="216"/>
      <c r="I361" s="249"/>
      <c r="J361" s="185">
        <f>J362+J363</f>
        <v>28699.98</v>
      </c>
      <c r="K361" s="185">
        <f aca="true" t="shared" si="31" ref="K361:W361">K362+K363</f>
        <v>0</v>
      </c>
      <c r="L361" s="185">
        <f t="shared" si="31"/>
        <v>22699.98</v>
      </c>
      <c r="M361" s="185">
        <f t="shared" si="31"/>
        <v>0</v>
      </c>
      <c r="N361" s="185">
        <f t="shared" si="31"/>
        <v>0</v>
      </c>
      <c r="O361" s="185">
        <f t="shared" si="31"/>
        <v>0</v>
      </c>
      <c r="P361" s="185">
        <f t="shared" si="31"/>
        <v>6000</v>
      </c>
      <c r="Q361" s="185">
        <f t="shared" si="31"/>
        <v>0</v>
      </c>
      <c r="R361" s="185">
        <f t="shared" si="31"/>
        <v>0</v>
      </c>
      <c r="S361" s="185">
        <f t="shared" si="31"/>
        <v>0</v>
      </c>
      <c r="T361" s="185">
        <f t="shared" si="31"/>
        <v>0</v>
      </c>
      <c r="U361" s="185">
        <f t="shared" si="31"/>
        <v>0</v>
      </c>
      <c r="V361" s="185">
        <f t="shared" si="31"/>
        <v>0</v>
      </c>
      <c r="W361" s="185">
        <f t="shared" si="31"/>
        <v>28699.98</v>
      </c>
      <c r="X361" s="184">
        <f t="shared" si="26"/>
        <v>0</v>
      </c>
    </row>
    <row r="362" spans="2:24" ht="63">
      <c r="B362" s="292"/>
      <c r="C362" s="292"/>
      <c r="D362" s="289"/>
      <c r="E362" s="70" t="s">
        <v>199</v>
      </c>
      <c r="F362" s="45"/>
      <c r="G362" s="46"/>
      <c r="H362" s="216"/>
      <c r="I362" s="249">
        <v>3110</v>
      </c>
      <c r="J362" s="45">
        <v>22699.98</v>
      </c>
      <c r="K362" s="49"/>
      <c r="L362" s="45">
        <v>22699.98</v>
      </c>
      <c r="M362" s="49"/>
      <c r="N362" s="49"/>
      <c r="O362" s="49"/>
      <c r="P362" s="49"/>
      <c r="Q362" s="49"/>
      <c r="R362" s="49"/>
      <c r="S362" s="49"/>
      <c r="T362" s="49"/>
      <c r="U362" s="49"/>
      <c r="V362" s="49"/>
      <c r="W362" s="49">
        <v>22699.98</v>
      </c>
      <c r="X362" s="40">
        <f t="shared" si="26"/>
        <v>0</v>
      </c>
    </row>
    <row r="363" spans="2:24" ht="31.5">
      <c r="B363" s="293"/>
      <c r="C363" s="293"/>
      <c r="D363" s="290"/>
      <c r="E363" s="80" t="s">
        <v>156</v>
      </c>
      <c r="F363" s="49"/>
      <c r="G363" s="18"/>
      <c r="H363" s="220"/>
      <c r="I363" s="249">
        <v>3110</v>
      </c>
      <c r="J363" s="21">
        <v>6000</v>
      </c>
      <c r="K363" s="49"/>
      <c r="L363" s="49"/>
      <c r="M363" s="49"/>
      <c r="N363" s="49"/>
      <c r="O363" s="49"/>
      <c r="P363" s="49">
        <v>6000</v>
      </c>
      <c r="Q363" s="49"/>
      <c r="R363" s="49">
        <f>6000-6000</f>
        <v>0</v>
      </c>
      <c r="S363" s="49"/>
      <c r="T363" s="49"/>
      <c r="U363" s="49"/>
      <c r="V363" s="49"/>
      <c r="W363" s="49">
        <v>6000</v>
      </c>
      <c r="X363" s="40">
        <f t="shared" si="26"/>
        <v>0</v>
      </c>
    </row>
    <row r="364" spans="2:24" ht="15.75">
      <c r="B364" s="291" t="s">
        <v>296</v>
      </c>
      <c r="C364" s="291" t="s">
        <v>297</v>
      </c>
      <c r="D364" s="288" t="s">
        <v>88</v>
      </c>
      <c r="E364" s="70"/>
      <c r="F364" s="45"/>
      <c r="G364" s="46"/>
      <c r="H364" s="216"/>
      <c r="I364" s="249"/>
      <c r="J364" s="185">
        <f>SUM(J365:J370)</f>
        <v>554346.1</v>
      </c>
      <c r="K364" s="185">
        <f aca="true" t="shared" si="32" ref="K364:W364">SUM(K365:K370)</f>
        <v>0</v>
      </c>
      <c r="L364" s="185">
        <f t="shared" si="32"/>
        <v>131346.1</v>
      </c>
      <c r="M364" s="185">
        <f t="shared" si="32"/>
        <v>0</v>
      </c>
      <c r="N364" s="185">
        <f t="shared" si="32"/>
        <v>0</v>
      </c>
      <c r="O364" s="185">
        <f t="shared" si="32"/>
        <v>92000</v>
      </c>
      <c r="P364" s="185">
        <f t="shared" si="32"/>
        <v>0</v>
      </c>
      <c r="Q364" s="185">
        <f t="shared" si="32"/>
        <v>45000</v>
      </c>
      <c r="R364" s="185">
        <f t="shared" si="32"/>
        <v>30000</v>
      </c>
      <c r="S364" s="185">
        <f t="shared" si="32"/>
        <v>396000</v>
      </c>
      <c r="T364" s="185">
        <f t="shared" si="32"/>
        <v>0</v>
      </c>
      <c r="U364" s="185">
        <f t="shared" si="32"/>
        <v>0</v>
      </c>
      <c r="V364" s="185">
        <f t="shared" si="32"/>
        <v>-140000</v>
      </c>
      <c r="W364" s="185">
        <f t="shared" si="32"/>
        <v>473659.43999999994</v>
      </c>
      <c r="X364" s="184">
        <f t="shared" si="26"/>
        <v>80686.66000000003</v>
      </c>
    </row>
    <row r="365" spans="2:24" ht="78.75">
      <c r="B365" s="292"/>
      <c r="C365" s="292"/>
      <c r="D365" s="289"/>
      <c r="E365" s="47" t="s">
        <v>885</v>
      </c>
      <c r="F365" s="45">
        <v>174469</v>
      </c>
      <c r="G365" s="18">
        <f>100%-((F365-H365)/F365)</f>
        <v>0.6304844986788484</v>
      </c>
      <c r="H365" s="216">
        <v>110000</v>
      </c>
      <c r="I365" s="249">
        <v>3122</v>
      </c>
      <c r="J365" s="9">
        <v>4242.1</v>
      </c>
      <c r="K365" s="49"/>
      <c r="L365" s="9">
        <v>4242.1</v>
      </c>
      <c r="M365" s="49"/>
      <c r="N365" s="49"/>
      <c r="O365" s="49"/>
      <c r="P365" s="49"/>
      <c r="Q365" s="49"/>
      <c r="R365" s="49"/>
      <c r="S365" s="49"/>
      <c r="T365" s="49"/>
      <c r="U365" s="49"/>
      <c r="V365" s="49"/>
      <c r="W365" s="49">
        <v>4242.1</v>
      </c>
      <c r="X365" s="40">
        <f t="shared" si="26"/>
        <v>0</v>
      </c>
    </row>
    <row r="366" spans="2:24" ht="31.5">
      <c r="B366" s="292"/>
      <c r="C366" s="292"/>
      <c r="D366" s="289"/>
      <c r="E366" s="29" t="s">
        <v>881</v>
      </c>
      <c r="F366" s="45">
        <v>325841.85</v>
      </c>
      <c r="G366" s="18">
        <f>100%-((F366-H366)/F366)</f>
        <v>0.1715561091983735</v>
      </c>
      <c r="H366" s="216">
        <v>55900.16</v>
      </c>
      <c r="I366" s="249">
        <v>3142</v>
      </c>
      <c r="J366" s="9">
        <v>127104</v>
      </c>
      <c r="K366" s="49"/>
      <c r="L366" s="9">
        <v>127104</v>
      </c>
      <c r="M366" s="49"/>
      <c r="N366" s="49"/>
      <c r="O366" s="49"/>
      <c r="P366" s="49"/>
      <c r="Q366" s="49"/>
      <c r="R366" s="49"/>
      <c r="S366" s="49"/>
      <c r="T366" s="49"/>
      <c r="U366" s="49"/>
      <c r="V366" s="49"/>
      <c r="W366" s="49">
        <v>127104</v>
      </c>
      <c r="X366" s="40">
        <f t="shared" si="26"/>
        <v>0</v>
      </c>
    </row>
    <row r="367" spans="2:24" ht="63">
      <c r="B367" s="292"/>
      <c r="C367" s="292"/>
      <c r="D367" s="289"/>
      <c r="E367" s="81" t="s">
        <v>832</v>
      </c>
      <c r="F367" s="82">
        <v>372700</v>
      </c>
      <c r="G367" s="18">
        <f>100%-((F367-H367)/F367)</f>
        <v>0.15293801985511135</v>
      </c>
      <c r="H367" s="222">
        <v>57000</v>
      </c>
      <c r="I367" s="249">
        <v>3142</v>
      </c>
      <c r="J367" s="66">
        <f>57000-55000</f>
        <v>2000</v>
      </c>
      <c r="K367" s="49"/>
      <c r="L367" s="49"/>
      <c r="M367" s="49"/>
      <c r="N367" s="49"/>
      <c r="O367" s="49">
        <v>57000</v>
      </c>
      <c r="P367" s="49"/>
      <c r="Q367" s="49"/>
      <c r="R367" s="49"/>
      <c r="S367" s="49"/>
      <c r="T367" s="49"/>
      <c r="U367" s="49"/>
      <c r="V367" s="49">
        <v>-55000</v>
      </c>
      <c r="W367" s="49"/>
      <c r="X367" s="40">
        <f t="shared" si="26"/>
        <v>2000</v>
      </c>
    </row>
    <row r="368" spans="2:24" ht="78.75">
      <c r="B368" s="292"/>
      <c r="C368" s="292"/>
      <c r="D368" s="289"/>
      <c r="E368" s="81" t="s">
        <v>733</v>
      </c>
      <c r="F368" s="82"/>
      <c r="G368" s="18"/>
      <c r="H368" s="222"/>
      <c r="I368" s="249">
        <v>3142</v>
      </c>
      <c r="J368" s="66">
        <v>25000</v>
      </c>
      <c r="K368" s="49"/>
      <c r="L368" s="49"/>
      <c r="M368" s="49"/>
      <c r="N368" s="49"/>
      <c r="O368" s="49"/>
      <c r="P368" s="49"/>
      <c r="Q368" s="49"/>
      <c r="R368" s="49"/>
      <c r="S368" s="49"/>
      <c r="T368" s="49"/>
      <c r="U368" s="49"/>
      <c r="V368" s="49">
        <v>25000</v>
      </c>
      <c r="W368" s="49"/>
      <c r="X368" s="40">
        <f t="shared" si="26"/>
        <v>25000</v>
      </c>
    </row>
    <row r="369" spans="2:24" ht="47.25">
      <c r="B369" s="292"/>
      <c r="C369" s="292"/>
      <c r="D369" s="289"/>
      <c r="E369" s="81" t="s">
        <v>21</v>
      </c>
      <c r="F369" s="82"/>
      <c r="G369" s="18"/>
      <c r="H369" s="222"/>
      <c r="I369" s="249">
        <v>3142</v>
      </c>
      <c r="J369" s="66">
        <v>396000</v>
      </c>
      <c r="K369" s="49"/>
      <c r="L369" s="49"/>
      <c r="M369" s="49"/>
      <c r="N369" s="49"/>
      <c r="O369" s="49"/>
      <c r="P369" s="49"/>
      <c r="Q369" s="49"/>
      <c r="R369" s="49"/>
      <c r="S369" s="49">
        <v>396000</v>
      </c>
      <c r="T369" s="49"/>
      <c r="U369" s="49"/>
      <c r="V369" s="49"/>
      <c r="W369" s="49">
        <f>295848.74+46464.6</f>
        <v>342313.33999999997</v>
      </c>
      <c r="X369" s="40">
        <f t="shared" si="26"/>
        <v>53686.66000000003</v>
      </c>
    </row>
    <row r="370" spans="2:24" ht="63" hidden="1">
      <c r="B370" s="293"/>
      <c r="C370" s="293"/>
      <c r="D370" s="290"/>
      <c r="E370" s="67" t="s">
        <v>833</v>
      </c>
      <c r="F370" s="49">
        <v>175111</v>
      </c>
      <c r="G370" s="18">
        <f>100%-((F370-H370)/F370)</f>
        <v>0.6281729874194082</v>
      </c>
      <c r="H370" s="220">
        <v>110000</v>
      </c>
      <c r="I370" s="249">
        <v>3122</v>
      </c>
      <c r="J370" s="21">
        <f>110000-110000</f>
        <v>0</v>
      </c>
      <c r="K370" s="49"/>
      <c r="L370" s="49"/>
      <c r="M370" s="49"/>
      <c r="N370" s="49"/>
      <c r="O370" s="49">
        <v>35000</v>
      </c>
      <c r="P370" s="49"/>
      <c r="Q370" s="49">
        <v>45000</v>
      </c>
      <c r="R370" s="49">
        <v>30000</v>
      </c>
      <c r="S370" s="49"/>
      <c r="T370" s="49"/>
      <c r="U370" s="49"/>
      <c r="V370" s="49">
        <v>-110000</v>
      </c>
      <c r="W370" s="49"/>
      <c r="X370" s="40">
        <f t="shared" si="26"/>
        <v>0</v>
      </c>
    </row>
    <row r="371" spans="2:24" ht="15.75">
      <c r="B371" s="291" t="s">
        <v>487</v>
      </c>
      <c r="C371" s="291" t="s">
        <v>353</v>
      </c>
      <c r="D371" s="288" t="s">
        <v>554</v>
      </c>
      <c r="E371" s="70"/>
      <c r="F371" s="45"/>
      <c r="G371" s="18"/>
      <c r="H371" s="216"/>
      <c r="I371" s="249"/>
      <c r="J371" s="185">
        <f>SUM(J372:J384)</f>
        <v>6509640.67</v>
      </c>
      <c r="K371" s="185">
        <f aca="true" t="shared" si="33" ref="K371:W371">SUM(K372:K384)</f>
        <v>0</v>
      </c>
      <c r="L371" s="185">
        <f t="shared" si="33"/>
        <v>393320.67000000004</v>
      </c>
      <c r="M371" s="185">
        <f t="shared" si="33"/>
        <v>0</v>
      </c>
      <c r="N371" s="185">
        <f t="shared" si="33"/>
        <v>0</v>
      </c>
      <c r="O371" s="185">
        <f t="shared" si="33"/>
        <v>310000</v>
      </c>
      <c r="P371" s="185">
        <f t="shared" si="33"/>
        <v>-120000</v>
      </c>
      <c r="Q371" s="185">
        <f t="shared" si="33"/>
        <v>480000</v>
      </c>
      <c r="R371" s="185">
        <f t="shared" si="33"/>
        <v>130000</v>
      </c>
      <c r="S371" s="185">
        <f t="shared" si="33"/>
        <v>311320</v>
      </c>
      <c r="T371" s="185">
        <f t="shared" si="33"/>
        <v>4700000</v>
      </c>
      <c r="U371" s="185">
        <f t="shared" si="33"/>
        <v>305000</v>
      </c>
      <c r="V371" s="185">
        <f t="shared" si="33"/>
        <v>0</v>
      </c>
      <c r="W371" s="185">
        <f t="shared" si="33"/>
        <v>1307585.4500000002</v>
      </c>
      <c r="X371" s="184">
        <f t="shared" si="26"/>
        <v>5202055.22</v>
      </c>
    </row>
    <row r="372" spans="2:24" ht="78.75">
      <c r="B372" s="292"/>
      <c r="C372" s="292"/>
      <c r="D372" s="289"/>
      <c r="E372" s="72" t="s">
        <v>268</v>
      </c>
      <c r="F372" s="45">
        <v>262076</v>
      </c>
      <c r="G372" s="18">
        <f>100%-((F372-H372)/F372)</f>
        <v>0.5124563103832476</v>
      </c>
      <c r="H372" s="216">
        <v>134302.5</v>
      </c>
      <c r="I372" s="249">
        <v>3142</v>
      </c>
      <c r="J372" s="9">
        <v>134302.5</v>
      </c>
      <c r="K372" s="49"/>
      <c r="L372" s="9">
        <v>134302.5</v>
      </c>
      <c r="M372" s="49"/>
      <c r="N372" s="49"/>
      <c r="O372" s="49"/>
      <c r="P372" s="49"/>
      <c r="Q372" s="49"/>
      <c r="R372" s="49"/>
      <c r="S372" s="49"/>
      <c r="T372" s="49"/>
      <c r="U372" s="49"/>
      <c r="V372" s="49"/>
      <c r="W372" s="49">
        <v>134302.5</v>
      </c>
      <c r="X372" s="40">
        <f t="shared" si="26"/>
        <v>0</v>
      </c>
    </row>
    <row r="373" spans="2:24" ht="141.75">
      <c r="B373" s="292"/>
      <c r="C373" s="292"/>
      <c r="D373" s="289"/>
      <c r="E373" s="47" t="s">
        <v>478</v>
      </c>
      <c r="F373" s="45">
        <v>82988</v>
      </c>
      <c r="G373" s="18">
        <f>100%-((F373-H373)/F373)</f>
        <v>1</v>
      </c>
      <c r="H373" s="216">
        <v>82988</v>
      </c>
      <c r="I373" s="249">
        <v>3122</v>
      </c>
      <c r="J373" s="9">
        <v>13335.28</v>
      </c>
      <c r="K373" s="49"/>
      <c r="L373" s="9">
        <v>13335.28</v>
      </c>
      <c r="M373" s="49"/>
      <c r="N373" s="49"/>
      <c r="O373" s="49"/>
      <c r="P373" s="49"/>
      <c r="Q373" s="49"/>
      <c r="R373" s="49"/>
      <c r="S373" s="49"/>
      <c r="T373" s="49"/>
      <c r="U373" s="49"/>
      <c r="V373" s="49"/>
      <c r="W373" s="49">
        <v>13335.28</v>
      </c>
      <c r="X373" s="40">
        <f t="shared" si="26"/>
        <v>0</v>
      </c>
    </row>
    <row r="374" spans="2:24" ht="63">
      <c r="B374" s="292"/>
      <c r="C374" s="292"/>
      <c r="D374" s="289"/>
      <c r="E374" s="64" t="s">
        <v>384</v>
      </c>
      <c r="F374" s="45">
        <v>427228.6</v>
      </c>
      <c r="G374" s="18">
        <f>100%-((F374-H374)/F374)</f>
        <v>0.6818363751864926</v>
      </c>
      <c r="H374" s="216">
        <v>291300</v>
      </c>
      <c r="I374" s="249">
        <v>3142</v>
      </c>
      <c r="J374" s="9">
        <v>97152.67</v>
      </c>
      <c r="K374" s="49"/>
      <c r="L374" s="9">
        <v>97152.67</v>
      </c>
      <c r="M374" s="49"/>
      <c r="N374" s="49"/>
      <c r="O374" s="49"/>
      <c r="P374" s="49"/>
      <c r="Q374" s="49"/>
      <c r="R374" s="49"/>
      <c r="S374" s="49"/>
      <c r="T374" s="49"/>
      <c r="U374" s="49"/>
      <c r="V374" s="49"/>
      <c r="W374" s="49">
        <v>97152.67</v>
      </c>
      <c r="X374" s="40">
        <f t="shared" si="26"/>
        <v>0</v>
      </c>
    </row>
    <row r="375" spans="2:24" ht="31.5">
      <c r="B375" s="292"/>
      <c r="C375" s="292"/>
      <c r="D375" s="289"/>
      <c r="E375" s="64" t="s">
        <v>385</v>
      </c>
      <c r="F375" s="45">
        <v>2452998.6</v>
      </c>
      <c r="G375" s="18">
        <f>100%-((F375-H375)/F375)</f>
        <v>0.9072105463085058</v>
      </c>
      <c r="H375" s="216">
        <v>2225386.2</v>
      </c>
      <c r="I375" s="249">
        <v>3142</v>
      </c>
      <c r="J375" s="9">
        <v>9898.8</v>
      </c>
      <c r="K375" s="49"/>
      <c r="L375" s="9">
        <v>9898.8</v>
      </c>
      <c r="M375" s="49"/>
      <c r="N375" s="49"/>
      <c r="O375" s="49"/>
      <c r="P375" s="49"/>
      <c r="Q375" s="49"/>
      <c r="R375" s="49"/>
      <c r="S375" s="49"/>
      <c r="T375" s="49"/>
      <c r="U375" s="49"/>
      <c r="V375" s="49"/>
      <c r="W375" s="49">
        <v>9898.8</v>
      </c>
      <c r="X375" s="40">
        <f t="shared" si="26"/>
        <v>0</v>
      </c>
    </row>
    <row r="376" spans="2:24" ht="78.75">
      <c r="B376" s="292"/>
      <c r="C376" s="292"/>
      <c r="D376" s="289"/>
      <c r="E376" s="47" t="s">
        <v>444</v>
      </c>
      <c r="F376" s="45">
        <v>1980460</v>
      </c>
      <c r="G376" s="18">
        <f>100%-((F376-H376)/F376)</f>
        <v>0.709939105056401</v>
      </c>
      <c r="H376" s="216">
        <v>1406006</v>
      </c>
      <c r="I376" s="249">
        <v>3142</v>
      </c>
      <c r="J376" s="9">
        <v>138631.42</v>
      </c>
      <c r="K376" s="49"/>
      <c r="L376" s="9">
        <v>138631.42</v>
      </c>
      <c r="M376" s="49"/>
      <c r="N376" s="49"/>
      <c r="O376" s="49"/>
      <c r="P376" s="49"/>
      <c r="Q376" s="49"/>
      <c r="R376" s="49"/>
      <c r="S376" s="49"/>
      <c r="T376" s="49"/>
      <c r="U376" s="49"/>
      <c r="V376" s="49"/>
      <c r="W376" s="49">
        <v>138631.42</v>
      </c>
      <c r="X376" s="40">
        <f t="shared" si="26"/>
        <v>0</v>
      </c>
    </row>
    <row r="377" spans="2:24" ht="31.5">
      <c r="B377" s="292"/>
      <c r="C377" s="292"/>
      <c r="D377" s="289"/>
      <c r="E377" s="47" t="s">
        <v>834</v>
      </c>
      <c r="F377" s="45"/>
      <c r="G377" s="18"/>
      <c r="H377" s="216"/>
      <c r="I377" s="249">
        <v>3142</v>
      </c>
      <c r="J377" s="9">
        <v>380000</v>
      </c>
      <c r="K377" s="49"/>
      <c r="L377" s="49"/>
      <c r="M377" s="49"/>
      <c r="N377" s="49"/>
      <c r="O377" s="49">
        <v>120000</v>
      </c>
      <c r="P377" s="49">
        <f>-60000-60000</f>
        <v>-120000</v>
      </c>
      <c r="Q377" s="49">
        <f>130000+60000+60000</f>
        <v>250000</v>
      </c>
      <c r="R377" s="49">
        <v>130000</v>
      </c>
      <c r="S377" s="49"/>
      <c r="T377" s="49"/>
      <c r="U377" s="49"/>
      <c r="V377" s="49"/>
      <c r="W377" s="49"/>
      <c r="X377" s="40">
        <f t="shared" si="26"/>
        <v>380000</v>
      </c>
    </row>
    <row r="378" spans="2:24" ht="31.5">
      <c r="B378" s="292"/>
      <c r="C378" s="292"/>
      <c r="D378" s="289"/>
      <c r="E378" s="47" t="s">
        <v>835</v>
      </c>
      <c r="F378" s="45"/>
      <c r="G378" s="18"/>
      <c r="H378" s="216"/>
      <c r="I378" s="249">
        <v>3142</v>
      </c>
      <c r="J378" s="9">
        <v>600000</v>
      </c>
      <c r="K378" s="49"/>
      <c r="L378" s="49"/>
      <c r="M378" s="49"/>
      <c r="N378" s="49"/>
      <c r="O378" s="49">
        <v>180000</v>
      </c>
      <c r="P378" s="49">
        <f>60000-60000</f>
        <v>0</v>
      </c>
      <c r="Q378" s="49">
        <f>210000-60000+60000</f>
        <v>210000</v>
      </c>
      <c r="R378" s="49"/>
      <c r="S378" s="49">
        <v>210000</v>
      </c>
      <c r="T378" s="49"/>
      <c r="U378" s="49"/>
      <c r="V378" s="49"/>
      <c r="W378" s="49">
        <f>152703.77+9300+412481.59+25514.64</f>
        <v>600000</v>
      </c>
      <c r="X378" s="40">
        <f t="shared" si="26"/>
        <v>0</v>
      </c>
    </row>
    <row r="379" spans="2:24" ht="31.5">
      <c r="B379" s="292"/>
      <c r="C379" s="292"/>
      <c r="D379" s="289"/>
      <c r="E379" s="47" t="s">
        <v>811</v>
      </c>
      <c r="F379" s="45"/>
      <c r="G379" s="18"/>
      <c r="H379" s="216"/>
      <c r="I379" s="249">
        <v>3142</v>
      </c>
      <c r="J379" s="9">
        <f>100000+335000</f>
        <v>435000</v>
      </c>
      <c r="K379" s="49"/>
      <c r="L379" s="49"/>
      <c r="M379" s="49"/>
      <c r="N379" s="49"/>
      <c r="O379" s="49"/>
      <c r="P379" s="49"/>
      <c r="Q379" s="49"/>
      <c r="R379" s="49"/>
      <c r="S379" s="49">
        <v>100000</v>
      </c>
      <c r="T379" s="49"/>
      <c r="U379" s="49">
        <v>335000</v>
      </c>
      <c r="V379" s="49"/>
      <c r="W379" s="49">
        <f>1780.8+111249.48+154959.6+2372.78+42582.12</f>
        <v>312944.78</v>
      </c>
      <c r="X379" s="40">
        <f t="shared" si="26"/>
        <v>122055.21999999997</v>
      </c>
    </row>
    <row r="380" spans="2:24" ht="47.25">
      <c r="B380" s="292"/>
      <c r="C380" s="292"/>
      <c r="D380" s="289"/>
      <c r="E380" s="47" t="s">
        <v>438</v>
      </c>
      <c r="F380" s="45"/>
      <c r="G380" s="18"/>
      <c r="H380" s="216"/>
      <c r="I380" s="249">
        <v>3142</v>
      </c>
      <c r="J380" s="9">
        <v>1320</v>
      </c>
      <c r="K380" s="49"/>
      <c r="L380" s="49"/>
      <c r="M380" s="49"/>
      <c r="N380" s="49"/>
      <c r="O380" s="49"/>
      <c r="P380" s="49"/>
      <c r="Q380" s="49"/>
      <c r="R380" s="49"/>
      <c r="S380" s="49">
        <v>1320</v>
      </c>
      <c r="T380" s="49"/>
      <c r="U380" s="49"/>
      <c r="V380" s="49"/>
      <c r="W380" s="49">
        <v>1320</v>
      </c>
      <c r="X380" s="40">
        <f t="shared" si="26"/>
        <v>0</v>
      </c>
    </row>
    <row r="381" spans="2:24" ht="63">
      <c r="B381" s="292"/>
      <c r="C381" s="292"/>
      <c r="D381" s="289"/>
      <c r="E381" s="70" t="s">
        <v>533</v>
      </c>
      <c r="F381" s="45"/>
      <c r="G381" s="18"/>
      <c r="H381" s="216"/>
      <c r="I381" s="249">
        <v>3142</v>
      </c>
      <c r="J381" s="45">
        <f>912000+654000</f>
        <v>1566000</v>
      </c>
      <c r="K381" s="49"/>
      <c r="L381" s="49"/>
      <c r="M381" s="49"/>
      <c r="N381" s="49"/>
      <c r="O381" s="49"/>
      <c r="P381" s="49"/>
      <c r="Q381" s="49"/>
      <c r="R381" s="49"/>
      <c r="S381" s="49"/>
      <c r="T381" s="45">
        <f>912000+654000</f>
        <v>1566000</v>
      </c>
      <c r="U381" s="49"/>
      <c r="V381" s="49"/>
      <c r="W381" s="49"/>
      <c r="X381" s="40">
        <f t="shared" si="26"/>
        <v>1566000</v>
      </c>
    </row>
    <row r="382" spans="2:24" ht="63">
      <c r="B382" s="292"/>
      <c r="C382" s="292"/>
      <c r="D382" s="289"/>
      <c r="E382" s="70" t="s">
        <v>534</v>
      </c>
      <c r="F382" s="45"/>
      <c r="G382" s="18"/>
      <c r="H382" s="216"/>
      <c r="I382" s="249">
        <v>3142</v>
      </c>
      <c r="J382" s="45">
        <f>912000+655000</f>
        <v>1567000</v>
      </c>
      <c r="K382" s="49"/>
      <c r="L382" s="49"/>
      <c r="M382" s="49"/>
      <c r="N382" s="49"/>
      <c r="O382" s="49"/>
      <c r="P382" s="49"/>
      <c r="Q382" s="49"/>
      <c r="R382" s="49"/>
      <c r="S382" s="49"/>
      <c r="T382" s="45">
        <f>912000+655000</f>
        <v>1567000</v>
      </c>
      <c r="U382" s="49"/>
      <c r="V382" s="49"/>
      <c r="W382" s="49"/>
      <c r="X382" s="40">
        <f t="shared" si="26"/>
        <v>1567000</v>
      </c>
    </row>
    <row r="383" spans="2:24" ht="63">
      <c r="B383" s="292"/>
      <c r="C383" s="292"/>
      <c r="D383" s="289"/>
      <c r="E383" s="70" t="s">
        <v>535</v>
      </c>
      <c r="F383" s="45"/>
      <c r="G383" s="18"/>
      <c r="H383" s="216"/>
      <c r="I383" s="249">
        <v>3142</v>
      </c>
      <c r="J383" s="45">
        <f>912000+655000</f>
        <v>1567000</v>
      </c>
      <c r="K383" s="49"/>
      <c r="L383" s="49"/>
      <c r="M383" s="49"/>
      <c r="N383" s="49"/>
      <c r="O383" s="49"/>
      <c r="P383" s="49"/>
      <c r="Q383" s="49"/>
      <c r="R383" s="49"/>
      <c r="S383" s="49"/>
      <c r="T383" s="45">
        <f>912000+655000</f>
        <v>1567000</v>
      </c>
      <c r="U383" s="49"/>
      <c r="V383" s="49"/>
      <c r="W383" s="49"/>
      <c r="X383" s="40">
        <f t="shared" si="26"/>
        <v>1567000</v>
      </c>
    </row>
    <row r="384" spans="2:24" ht="47.25" hidden="1">
      <c r="B384" s="293"/>
      <c r="C384" s="293"/>
      <c r="D384" s="290"/>
      <c r="E384" s="47" t="s">
        <v>652</v>
      </c>
      <c r="F384" s="45"/>
      <c r="G384" s="18"/>
      <c r="H384" s="216"/>
      <c r="I384" s="249">
        <v>3122</v>
      </c>
      <c r="J384" s="9">
        <f>30000-30000</f>
        <v>0</v>
      </c>
      <c r="K384" s="49"/>
      <c r="L384" s="49"/>
      <c r="M384" s="49"/>
      <c r="N384" s="49"/>
      <c r="O384" s="49">
        <v>10000</v>
      </c>
      <c r="P384" s="49"/>
      <c r="Q384" s="49">
        <v>20000</v>
      </c>
      <c r="R384" s="49"/>
      <c r="S384" s="49"/>
      <c r="T384" s="49"/>
      <c r="U384" s="49">
        <v>-30000</v>
      </c>
      <c r="V384" s="49"/>
      <c r="W384" s="49"/>
      <c r="X384" s="40">
        <f t="shared" si="26"/>
        <v>0</v>
      </c>
    </row>
    <row r="385" spans="2:24" ht="15.75" customHeight="1">
      <c r="B385" s="291" t="s">
        <v>488</v>
      </c>
      <c r="C385" s="291" t="s">
        <v>79</v>
      </c>
      <c r="D385" s="288" t="s">
        <v>445</v>
      </c>
      <c r="E385" s="70"/>
      <c r="F385" s="45"/>
      <c r="G385" s="18"/>
      <c r="H385" s="216"/>
      <c r="I385" s="249"/>
      <c r="J385" s="185">
        <f>SUM(J386:J392)</f>
        <v>418568.39</v>
      </c>
      <c r="K385" s="185">
        <f aca="true" t="shared" si="34" ref="K385:W385">SUM(K386:K392)</f>
        <v>0</v>
      </c>
      <c r="L385" s="185">
        <f t="shared" si="34"/>
        <v>5568.39</v>
      </c>
      <c r="M385" s="185">
        <f t="shared" si="34"/>
        <v>0</v>
      </c>
      <c r="N385" s="185">
        <f t="shared" si="34"/>
        <v>0</v>
      </c>
      <c r="O385" s="185">
        <f t="shared" si="34"/>
        <v>30000</v>
      </c>
      <c r="P385" s="185">
        <f t="shared" si="34"/>
        <v>10000</v>
      </c>
      <c r="Q385" s="185">
        <f t="shared" si="34"/>
        <v>100000</v>
      </c>
      <c r="R385" s="185">
        <f t="shared" si="34"/>
        <v>0</v>
      </c>
      <c r="S385" s="185">
        <f t="shared" si="34"/>
        <v>2034000</v>
      </c>
      <c r="T385" s="185">
        <f t="shared" si="34"/>
        <v>-1964000</v>
      </c>
      <c r="U385" s="185">
        <f t="shared" si="34"/>
        <v>203000</v>
      </c>
      <c r="V385" s="185">
        <f t="shared" si="34"/>
        <v>0</v>
      </c>
      <c r="W385" s="185">
        <f t="shared" si="34"/>
        <v>332646.22000000003</v>
      </c>
      <c r="X385" s="184">
        <f t="shared" si="26"/>
        <v>85922.16999999998</v>
      </c>
    </row>
    <row r="386" spans="2:24" ht="78.75">
      <c r="B386" s="292"/>
      <c r="C386" s="292"/>
      <c r="D386" s="289"/>
      <c r="E386" s="70" t="s">
        <v>446</v>
      </c>
      <c r="F386" s="45">
        <v>5568.39</v>
      </c>
      <c r="G386" s="18">
        <f>100%-((F386-H386)/F386)</f>
        <v>1</v>
      </c>
      <c r="H386" s="216">
        <v>5568.39</v>
      </c>
      <c r="I386" s="249">
        <v>3142</v>
      </c>
      <c r="J386" s="45">
        <v>5568.39</v>
      </c>
      <c r="K386" s="49"/>
      <c r="L386" s="45">
        <v>5568.39</v>
      </c>
      <c r="M386" s="49"/>
      <c r="N386" s="49"/>
      <c r="O386" s="49"/>
      <c r="P386" s="49"/>
      <c r="Q386" s="49"/>
      <c r="R386" s="49"/>
      <c r="S386" s="49"/>
      <c r="T386" s="49"/>
      <c r="U386" s="49"/>
      <c r="V386" s="49"/>
      <c r="W386" s="49">
        <v>5568.39</v>
      </c>
      <c r="X386" s="40">
        <f t="shared" si="26"/>
        <v>0</v>
      </c>
    </row>
    <row r="387" spans="2:24" ht="63">
      <c r="B387" s="292"/>
      <c r="C387" s="292"/>
      <c r="D387" s="289"/>
      <c r="E387" s="70" t="s">
        <v>653</v>
      </c>
      <c r="F387" s="45"/>
      <c r="G387" s="18"/>
      <c r="H387" s="216"/>
      <c r="I387" s="249">
        <v>3142</v>
      </c>
      <c r="J387" s="45">
        <v>60000</v>
      </c>
      <c r="K387" s="49"/>
      <c r="L387" s="49"/>
      <c r="M387" s="49"/>
      <c r="N387" s="49"/>
      <c r="O387" s="49">
        <v>30000</v>
      </c>
      <c r="P387" s="49"/>
      <c r="Q387" s="49">
        <v>30000</v>
      </c>
      <c r="R387" s="49"/>
      <c r="S387" s="49"/>
      <c r="T387" s="49"/>
      <c r="U387" s="49"/>
      <c r="V387" s="49"/>
      <c r="W387" s="49"/>
      <c r="X387" s="40">
        <f t="shared" si="26"/>
        <v>60000</v>
      </c>
    </row>
    <row r="388" spans="2:24" ht="63" hidden="1">
      <c r="B388" s="292"/>
      <c r="C388" s="292"/>
      <c r="D388" s="289"/>
      <c r="E388" s="70" t="s">
        <v>533</v>
      </c>
      <c r="F388" s="45"/>
      <c r="G388" s="18"/>
      <c r="H388" s="216"/>
      <c r="I388" s="249">
        <v>3142</v>
      </c>
      <c r="J388" s="45">
        <f>912000+654000-1566000</f>
        <v>0</v>
      </c>
      <c r="K388" s="49"/>
      <c r="L388" s="49"/>
      <c r="M388" s="49"/>
      <c r="N388" s="49"/>
      <c r="O388" s="49"/>
      <c r="P388" s="49"/>
      <c r="Q388" s="49"/>
      <c r="R388" s="49"/>
      <c r="S388" s="49">
        <v>654000</v>
      </c>
      <c r="T388" s="49">
        <f>912000-1566000</f>
        <v>-654000</v>
      </c>
      <c r="U388" s="49"/>
      <c r="V388" s="49"/>
      <c r="W388" s="49"/>
      <c r="X388" s="40">
        <f t="shared" si="26"/>
        <v>0</v>
      </c>
    </row>
    <row r="389" spans="2:24" ht="63" hidden="1">
      <c r="B389" s="292"/>
      <c r="C389" s="292"/>
      <c r="D389" s="289"/>
      <c r="E389" s="70" t="s">
        <v>534</v>
      </c>
      <c r="F389" s="45"/>
      <c r="G389" s="18"/>
      <c r="H389" s="216"/>
      <c r="I389" s="249">
        <v>3142</v>
      </c>
      <c r="J389" s="45">
        <f>912000+655000-1567000</f>
        <v>0</v>
      </c>
      <c r="K389" s="49"/>
      <c r="L389" s="49"/>
      <c r="M389" s="49"/>
      <c r="N389" s="49"/>
      <c r="O389" s="49"/>
      <c r="P389" s="49"/>
      <c r="Q389" s="49"/>
      <c r="R389" s="49"/>
      <c r="S389" s="49">
        <v>655000</v>
      </c>
      <c r="T389" s="49">
        <f>912000-1567000</f>
        <v>-655000</v>
      </c>
      <c r="U389" s="49"/>
      <c r="V389" s="49"/>
      <c r="W389" s="49"/>
      <c r="X389" s="40">
        <f t="shared" si="26"/>
        <v>0</v>
      </c>
    </row>
    <row r="390" spans="2:24" ht="63" hidden="1">
      <c r="B390" s="292"/>
      <c r="C390" s="292"/>
      <c r="D390" s="289"/>
      <c r="E390" s="70" t="s">
        <v>535</v>
      </c>
      <c r="F390" s="45"/>
      <c r="G390" s="18"/>
      <c r="H390" s="216"/>
      <c r="I390" s="249">
        <v>3142</v>
      </c>
      <c r="J390" s="45">
        <f>912000+655000-1567000</f>
        <v>0</v>
      </c>
      <c r="K390" s="49"/>
      <c r="L390" s="49"/>
      <c r="M390" s="49"/>
      <c r="N390" s="49"/>
      <c r="O390" s="49"/>
      <c r="P390" s="49"/>
      <c r="Q390" s="49"/>
      <c r="R390" s="49"/>
      <c r="S390" s="49">
        <v>655000</v>
      </c>
      <c r="T390" s="49">
        <f>912000-1567000</f>
        <v>-655000</v>
      </c>
      <c r="U390" s="49"/>
      <c r="V390" s="49"/>
      <c r="W390" s="49"/>
      <c r="X390" s="40">
        <f t="shared" si="26"/>
        <v>0</v>
      </c>
    </row>
    <row r="391" spans="2:24" ht="47.25">
      <c r="B391" s="292"/>
      <c r="C391" s="292"/>
      <c r="D391" s="289"/>
      <c r="E391" s="70" t="s">
        <v>141</v>
      </c>
      <c r="F391" s="45"/>
      <c r="G391" s="18"/>
      <c r="H391" s="216"/>
      <c r="I391" s="249">
        <v>3142</v>
      </c>
      <c r="J391" s="45">
        <v>260000</v>
      </c>
      <c r="K391" s="49"/>
      <c r="L391" s="49"/>
      <c r="M391" s="49"/>
      <c r="N391" s="49"/>
      <c r="O391" s="49"/>
      <c r="P391" s="49"/>
      <c r="Q391" s="49"/>
      <c r="R391" s="49"/>
      <c r="S391" s="49"/>
      <c r="T391" s="49"/>
      <c r="U391" s="49">
        <v>260000</v>
      </c>
      <c r="V391" s="49"/>
      <c r="W391" s="49">
        <f>234373.2</f>
        <v>234373.2</v>
      </c>
      <c r="X391" s="40">
        <f t="shared" si="26"/>
        <v>25626.79999999999</v>
      </c>
    </row>
    <row r="392" spans="2:24" ht="31.5">
      <c r="B392" s="293"/>
      <c r="C392" s="293"/>
      <c r="D392" s="290"/>
      <c r="E392" s="70" t="s">
        <v>369</v>
      </c>
      <c r="F392" s="45"/>
      <c r="G392" s="18"/>
      <c r="H392" s="216"/>
      <c r="I392" s="249">
        <v>3142</v>
      </c>
      <c r="J392" s="45">
        <f>150000-57000</f>
        <v>93000</v>
      </c>
      <c r="K392" s="49"/>
      <c r="L392" s="49"/>
      <c r="M392" s="49"/>
      <c r="N392" s="49"/>
      <c r="O392" s="49"/>
      <c r="P392" s="49">
        <v>10000</v>
      </c>
      <c r="Q392" s="49">
        <v>70000</v>
      </c>
      <c r="R392" s="49"/>
      <c r="S392" s="49">
        <v>70000</v>
      </c>
      <c r="T392" s="49"/>
      <c r="U392" s="49">
        <v>-57000</v>
      </c>
      <c r="V392" s="49"/>
      <c r="W392" s="49">
        <f>10115.25+1504.18+23850+1585.2+55650</f>
        <v>92704.63</v>
      </c>
      <c r="X392" s="40">
        <f t="shared" si="26"/>
        <v>295.36999999999534</v>
      </c>
    </row>
    <row r="393" spans="2:24" ht="15.75">
      <c r="B393" s="302" t="s">
        <v>483</v>
      </c>
      <c r="C393" s="302" t="s">
        <v>297</v>
      </c>
      <c r="D393" s="288" t="s">
        <v>698</v>
      </c>
      <c r="E393" s="70"/>
      <c r="F393" s="45"/>
      <c r="G393" s="18"/>
      <c r="H393" s="216"/>
      <c r="I393" s="249"/>
      <c r="J393" s="185">
        <f>J398+J405+J412+J394</f>
        <v>2610339.75</v>
      </c>
      <c r="K393" s="185">
        <f aca="true" t="shared" si="35" ref="K393:W393">K398+K405+K412+K394</f>
        <v>0</v>
      </c>
      <c r="L393" s="185">
        <f t="shared" si="35"/>
        <v>0</v>
      </c>
      <c r="M393" s="185">
        <f t="shared" si="35"/>
        <v>0</v>
      </c>
      <c r="N393" s="185">
        <f t="shared" si="35"/>
        <v>0</v>
      </c>
      <c r="O393" s="185">
        <f t="shared" si="35"/>
        <v>853339.75</v>
      </c>
      <c r="P393" s="185">
        <f t="shared" si="35"/>
        <v>561200</v>
      </c>
      <c r="Q393" s="185">
        <f t="shared" si="35"/>
        <v>661800</v>
      </c>
      <c r="R393" s="185">
        <f t="shared" si="35"/>
        <v>45000</v>
      </c>
      <c r="S393" s="185">
        <f t="shared" si="35"/>
        <v>370000</v>
      </c>
      <c r="T393" s="185">
        <f t="shared" si="35"/>
        <v>0</v>
      </c>
      <c r="U393" s="185">
        <f t="shared" si="35"/>
        <v>30000</v>
      </c>
      <c r="V393" s="185">
        <f t="shared" si="35"/>
        <v>89000</v>
      </c>
      <c r="W393" s="185">
        <f t="shared" si="35"/>
        <v>2596230.99</v>
      </c>
      <c r="X393" s="184">
        <f t="shared" si="26"/>
        <v>14108.759999999776</v>
      </c>
    </row>
    <row r="394" spans="2:24" ht="31.5">
      <c r="B394" s="308"/>
      <c r="C394" s="308"/>
      <c r="D394" s="289"/>
      <c r="E394" s="83" t="s">
        <v>153</v>
      </c>
      <c r="F394" s="71"/>
      <c r="G394" s="84"/>
      <c r="H394" s="221"/>
      <c r="I394" s="253"/>
      <c r="J394" s="71">
        <f>SUM(J395:J397)</f>
        <v>800000</v>
      </c>
      <c r="K394" s="71">
        <f aca="true" t="shared" si="36" ref="K394:W394">SUM(K395:K397)</f>
        <v>0</v>
      </c>
      <c r="L394" s="71">
        <f t="shared" si="36"/>
        <v>0</v>
      </c>
      <c r="M394" s="71">
        <f t="shared" si="36"/>
        <v>0</v>
      </c>
      <c r="N394" s="71">
        <f t="shared" si="36"/>
        <v>0</v>
      </c>
      <c r="O394" s="71">
        <f t="shared" si="36"/>
        <v>30000</v>
      </c>
      <c r="P394" s="71">
        <f t="shared" si="36"/>
        <v>200000</v>
      </c>
      <c r="Q394" s="71">
        <f t="shared" si="36"/>
        <v>410000</v>
      </c>
      <c r="R394" s="71">
        <f t="shared" si="36"/>
        <v>0</v>
      </c>
      <c r="S394" s="71">
        <f t="shared" si="36"/>
        <v>160000</v>
      </c>
      <c r="T394" s="71">
        <f t="shared" si="36"/>
        <v>0</v>
      </c>
      <c r="U394" s="71">
        <f t="shared" si="36"/>
        <v>0</v>
      </c>
      <c r="V394" s="71">
        <f t="shared" si="36"/>
        <v>0</v>
      </c>
      <c r="W394" s="71">
        <f t="shared" si="36"/>
        <v>799947</v>
      </c>
      <c r="X394" s="40">
        <f t="shared" si="26"/>
        <v>53</v>
      </c>
    </row>
    <row r="395" spans="2:24" ht="47.25">
      <c r="B395" s="308"/>
      <c r="C395" s="308"/>
      <c r="D395" s="289"/>
      <c r="E395" s="10" t="s">
        <v>154</v>
      </c>
      <c r="F395" s="45"/>
      <c r="G395" s="18"/>
      <c r="H395" s="216"/>
      <c r="I395" s="249">
        <v>3210</v>
      </c>
      <c r="J395" s="45">
        <v>500000</v>
      </c>
      <c r="K395" s="49"/>
      <c r="L395" s="49"/>
      <c r="M395" s="49"/>
      <c r="N395" s="49"/>
      <c r="O395" s="49">
        <v>10000</v>
      </c>
      <c r="P395" s="49">
        <v>200000</v>
      </c>
      <c r="Q395" s="49">
        <f>10000+280000</f>
        <v>290000</v>
      </c>
      <c r="R395" s="49"/>
      <c r="S395" s="49">
        <f>150000-150000</f>
        <v>0</v>
      </c>
      <c r="T395" s="49">
        <f>330000-50000-280000</f>
        <v>0</v>
      </c>
      <c r="U395" s="49"/>
      <c r="V395" s="49"/>
      <c r="W395" s="49">
        <f>2880+146429.4-15.84+341631.64+9022</f>
        <v>499947.2</v>
      </c>
      <c r="X395" s="40">
        <f t="shared" si="26"/>
        <v>52.79999999998836</v>
      </c>
    </row>
    <row r="396" spans="2:24" ht="47.25">
      <c r="B396" s="308"/>
      <c r="C396" s="308"/>
      <c r="D396" s="289"/>
      <c r="E396" s="10" t="s">
        <v>155</v>
      </c>
      <c r="F396" s="45"/>
      <c r="G396" s="18"/>
      <c r="H396" s="216"/>
      <c r="I396" s="249">
        <v>3210</v>
      </c>
      <c r="J396" s="45">
        <v>150000</v>
      </c>
      <c r="K396" s="49"/>
      <c r="L396" s="49"/>
      <c r="M396" s="49"/>
      <c r="N396" s="49"/>
      <c r="O396" s="49">
        <v>10000</v>
      </c>
      <c r="P396" s="49"/>
      <c r="Q396" s="49">
        <f>10000+50000</f>
        <v>60000</v>
      </c>
      <c r="R396" s="49"/>
      <c r="S396" s="49">
        <f>50000-50000+80000</f>
        <v>80000</v>
      </c>
      <c r="T396" s="49">
        <f>80000-80000</f>
        <v>0</v>
      </c>
      <c r="U396" s="49"/>
      <c r="V396" s="49"/>
      <c r="W396" s="49">
        <f>26344.8+89989+33666</f>
        <v>149999.8</v>
      </c>
      <c r="X396" s="40">
        <f t="shared" si="26"/>
        <v>0.20000000001164153</v>
      </c>
    </row>
    <row r="397" spans="2:24" ht="63">
      <c r="B397" s="308"/>
      <c r="C397" s="308"/>
      <c r="D397" s="289"/>
      <c r="E397" s="12" t="s">
        <v>421</v>
      </c>
      <c r="F397" s="45"/>
      <c r="G397" s="18"/>
      <c r="H397" s="216"/>
      <c r="I397" s="249">
        <v>3210</v>
      </c>
      <c r="J397" s="45">
        <v>150000</v>
      </c>
      <c r="K397" s="49"/>
      <c r="L397" s="49"/>
      <c r="M397" s="49"/>
      <c r="N397" s="49"/>
      <c r="O397" s="49">
        <v>10000</v>
      </c>
      <c r="P397" s="49"/>
      <c r="Q397" s="49">
        <f>10000+50000</f>
        <v>60000</v>
      </c>
      <c r="R397" s="49"/>
      <c r="S397" s="49">
        <f>50000-50000+80000</f>
        <v>80000</v>
      </c>
      <c r="T397" s="49">
        <f>80000-80000</f>
        <v>0</v>
      </c>
      <c r="U397" s="49"/>
      <c r="V397" s="49"/>
      <c r="W397" s="49">
        <f>2880+43344.9+23775+80000.1</f>
        <v>150000</v>
      </c>
      <c r="X397" s="40">
        <f t="shared" si="26"/>
        <v>0</v>
      </c>
    </row>
    <row r="398" spans="2:24" ht="31.5">
      <c r="B398" s="308"/>
      <c r="C398" s="308"/>
      <c r="D398" s="289"/>
      <c r="E398" s="85" t="s">
        <v>576</v>
      </c>
      <c r="F398" s="49"/>
      <c r="G398" s="86"/>
      <c r="H398" s="220"/>
      <c r="I398" s="249"/>
      <c r="J398" s="26">
        <f>SUM(J399:J404)</f>
        <v>870800</v>
      </c>
      <c r="K398" s="26">
        <f aca="true" t="shared" si="37" ref="K398:W398">SUM(K399:K404)</f>
        <v>0</v>
      </c>
      <c r="L398" s="26">
        <f t="shared" si="37"/>
        <v>0</v>
      </c>
      <c r="M398" s="26">
        <f t="shared" si="37"/>
        <v>0</v>
      </c>
      <c r="N398" s="26">
        <f t="shared" si="37"/>
        <v>0</v>
      </c>
      <c r="O398" s="26">
        <f t="shared" si="37"/>
        <v>153800</v>
      </c>
      <c r="P398" s="26">
        <f t="shared" si="37"/>
        <v>346200</v>
      </c>
      <c r="Q398" s="26">
        <f t="shared" si="37"/>
        <v>251800</v>
      </c>
      <c r="R398" s="26">
        <f t="shared" si="37"/>
        <v>0</v>
      </c>
      <c r="S398" s="26">
        <f t="shared" si="37"/>
        <v>80000</v>
      </c>
      <c r="T398" s="26">
        <f t="shared" si="37"/>
        <v>0</v>
      </c>
      <c r="U398" s="26">
        <f t="shared" si="37"/>
        <v>0</v>
      </c>
      <c r="V398" s="26">
        <f t="shared" si="37"/>
        <v>39000</v>
      </c>
      <c r="W398" s="26">
        <f t="shared" si="37"/>
        <v>870798.35</v>
      </c>
      <c r="X398" s="40">
        <f t="shared" si="26"/>
        <v>1.650000000023283</v>
      </c>
    </row>
    <row r="399" spans="2:24" ht="15.75">
      <c r="B399" s="308"/>
      <c r="C399" s="308"/>
      <c r="D399" s="289"/>
      <c r="E399" s="87" t="s">
        <v>617</v>
      </c>
      <c r="F399" s="49"/>
      <c r="G399" s="86"/>
      <c r="H399" s="220"/>
      <c r="I399" s="249">
        <v>3210</v>
      </c>
      <c r="J399" s="9">
        <f>500000-1430</f>
        <v>498570</v>
      </c>
      <c r="K399" s="49"/>
      <c r="L399" s="49"/>
      <c r="M399" s="49"/>
      <c r="N399" s="49"/>
      <c r="O399" s="49"/>
      <c r="P399" s="49">
        <v>500000</v>
      </c>
      <c r="Q399" s="49">
        <f>500000-500000</f>
        <v>0</v>
      </c>
      <c r="R399" s="49"/>
      <c r="S399" s="49">
        <v>-1430</v>
      </c>
      <c r="T399" s="49"/>
      <c r="U399" s="49"/>
      <c r="V399" s="49"/>
      <c r="W399" s="49">
        <v>498570</v>
      </c>
      <c r="X399" s="40">
        <f t="shared" si="26"/>
        <v>0</v>
      </c>
    </row>
    <row r="400" spans="2:24" ht="31.5">
      <c r="B400" s="308"/>
      <c r="C400" s="308"/>
      <c r="D400" s="289"/>
      <c r="E400" s="87" t="s">
        <v>618</v>
      </c>
      <c r="F400" s="49"/>
      <c r="G400" s="86"/>
      <c r="H400" s="220"/>
      <c r="I400" s="249">
        <v>3210</v>
      </c>
      <c r="J400" s="9">
        <v>98000</v>
      </c>
      <c r="K400" s="49"/>
      <c r="L400" s="49"/>
      <c r="M400" s="49"/>
      <c r="N400" s="49"/>
      <c r="O400" s="49"/>
      <c r="P400" s="49">
        <f>98000-98000</f>
        <v>0</v>
      </c>
      <c r="Q400" s="49">
        <v>98000</v>
      </c>
      <c r="R400" s="49"/>
      <c r="S400" s="49"/>
      <c r="T400" s="49"/>
      <c r="U400" s="49"/>
      <c r="V400" s="49"/>
      <c r="W400" s="49">
        <f>12326.91+28762.79+17072.59+39836.06</f>
        <v>97998.34999999999</v>
      </c>
      <c r="X400" s="40">
        <f t="shared" si="26"/>
        <v>1.6500000000087311</v>
      </c>
    </row>
    <row r="401" spans="2:24" ht="15.75">
      <c r="B401" s="308"/>
      <c r="C401" s="308"/>
      <c r="D401" s="289"/>
      <c r="E401" s="47" t="s">
        <v>776</v>
      </c>
      <c r="F401" s="49"/>
      <c r="G401" s="86"/>
      <c r="H401" s="220"/>
      <c r="I401" s="249">
        <v>3210</v>
      </c>
      <c r="J401" s="9">
        <v>35955</v>
      </c>
      <c r="K401" s="49"/>
      <c r="L401" s="49"/>
      <c r="M401" s="49"/>
      <c r="N401" s="49"/>
      <c r="O401" s="49"/>
      <c r="P401" s="49"/>
      <c r="Q401" s="49"/>
      <c r="R401" s="49"/>
      <c r="S401" s="49">
        <v>35955</v>
      </c>
      <c r="T401" s="49"/>
      <c r="U401" s="49"/>
      <c r="V401" s="49"/>
      <c r="W401" s="49">
        <v>35955</v>
      </c>
      <c r="X401" s="40">
        <f t="shared" si="26"/>
        <v>0</v>
      </c>
    </row>
    <row r="402" spans="2:24" ht="31.5">
      <c r="B402" s="308"/>
      <c r="C402" s="308"/>
      <c r="D402" s="289"/>
      <c r="E402" s="47" t="s">
        <v>777</v>
      </c>
      <c r="F402" s="49"/>
      <c r="G402" s="86"/>
      <c r="H402" s="220"/>
      <c r="I402" s="249">
        <v>3210</v>
      </c>
      <c r="J402" s="9">
        <v>80000</v>
      </c>
      <c r="K402" s="49"/>
      <c r="L402" s="49"/>
      <c r="M402" s="49"/>
      <c r="N402" s="49"/>
      <c r="O402" s="49"/>
      <c r="P402" s="49"/>
      <c r="Q402" s="49"/>
      <c r="R402" s="49"/>
      <c r="S402" s="49">
        <v>80000</v>
      </c>
      <c r="T402" s="49"/>
      <c r="U402" s="49"/>
      <c r="V402" s="49"/>
      <c r="W402" s="49">
        <f>24000+56000</f>
        <v>80000</v>
      </c>
      <c r="X402" s="40">
        <f t="shared" si="26"/>
        <v>0</v>
      </c>
    </row>
    <row r="403" spans="2:24" ht="15.75">
      <c r="B403" s="308"/>
      <c r="C403" s="308"/>
      <c r="D403" s="289"/>
      <c r="E403" s="47" t="s">
        <v>732</v>
      </c>
      <c r="F403" s="49"/>
      <c r="G403" s="86"/>
      <c r="H403" s="220"/>
      <c r="I403" s="249">
        <v>3210</v>
      </c>
      <c r="J403" s="9">
        <v>39000</v>
      </c>
      <c r="K403" s="49"/>
      <c r="L403" s="49"/>
      <c r="M403" s="49"/>
      <c r="N403" s="49"/>
      <c r="O403" s="49"/>
      <c r="P403" s="49"/>
      <c r="Q403" s="49"/>
      <c r="R403" s="49"/>
      <c r="S403" s="49"/>
      <c r="T403" s="49"/>
      <c r="U403" s="49"/>
      <c r="V403" s="49">
        <v>39000</v>
      </c>
      <c r="W403" s="49">
        <v>39000</v>
      </c>
      <c r="X403" s="40">
        <f t="shared" si="26"/>
        <v>0</v>
      </c>
    </row>
    <row r="404" spans="2:24" ht="47.25">
      <c r="B404" s="308"/>
      <c r="C404" s="308"/>
      <c r="D404" s="289"/>
      <c r="E404" s="47" t="s">
        <v>619</v>
      </c>
      <c r="F404" s="49"/>
      <c r="G404" s="86"/>
      <c r="H404" s="220"/>
      <c r="I404" s="249">
        <v>3210</v>
      </c>
      <c r="J404" s="9">
        <f>153800-34525</f>
        <v>119275</v>
      </c>
      <c r="K404" s="49"/>
      <c r="L404" s="49"/>
      <c r="M404" s="49"/>
      <c r="N404" s="49"/>
      <c r="O404" s="49">
        <v>153800</v>
      </c>
      <c r="P404" s="49">
        <v>-153800</v>
      </c>
      <c r="Q404" s="49">
        <v>153800</v>
      </c>
      <c r="R404" s="49"/>
      <c r="S404" s="49">
        <v>-34525</v>
      </c>
      <c r="T404" s="49"/>
      <c r="U404" s="49"/>
      <c r="V404" s="49"/>
      <c r="W404" s="49">
        <v>119275</v>
      </c>
      <c r="X404" s="40">
        <f t="shared" si="26"/>
        <v>0</v>
      </c>
    </row>
    <row r="405" spans="2:24" ht="31.5">
      <c r="B405" s="308"/>
      <c r="C405" s="308"/>
      <c r="D405" s="289"/>
      <c r="E405" s="85" t="s">
        <v>620</v>
      </c>
      <c r="F405" s="49"/>
      <c r="G405" s="86"/>
      <c r="H405" s="220"/>
      <c r="I405" s="249"/>
      <c r="J405" s="26">
        <f>SUM(J406:J411)</f>
        <v>939539.75</v>
      </c>
      <c r="K405" s="26">
        <f aca="true" t="shared" si="38" ref="K405:W405">SUM(K406:K411)</f>
        <v>0</v>
      </c>
      <c r="L405" s="26">
        <f t="shared" si="38"/>
        <v>0</v>
      </c>
      <c r="M405" s="26">
        <f t="shared" si="38"/>
        <v>0</v>
      </c>
      <c r="N405" s="26">
        <f t="shared" si="38"/>
        <v>0</v>
      </c>
      <c r="O405" s="26">
        <f t="shared" si="38"/>
        <v>659539.75</v>
      </c>
      <c r="P405" s="26">
        <f t="shared" si="38"/>
        <v>25000</v>
      </c>
      <c r="Q405" s="26">
        <f t="shared" si="38"/>
        <v>0</v>
      </c>
      <c r="R405" s="26">
        <f t="shared" si="38"/>
        <v>45000</v>
      </c>
      <c r="S405" s="26">
        <f t="shared" si="38"/>
        <v>130000</v>
      </c>
      <c r="T405" s="26">
        <f t="shared" si="38"/>
        <v>0</v>
      </c>
      <c r="U405" s="26">
        <f t="shared" si="38"/>
        <v>30000</v>
      </c>
      <c r="V405" s="26">
        <f t="shared" si="38"/>
        <v>50000</v>
      </c>
      <c r="W405" s="26">
        <f t="shared" si="38"/>
        <v>925485.64</v>
      </c>
      <c r="X405" s="40">
        <f aca="true" t="shared" si="39" ref="X405:X469">J405-W405</f>
        <v>14054.109999999986</v>
      </c>
    </row>
    <row r="406" spans="2:24" ht="94.5">
      <c r="B406" s="308"/>
      <c r="C406" s="308"/>
      <c r="D406" s="289"/>
      <c r="E406" s="47" t="s">
        <v>224</v>
      </c>
      <c r="F406" s="49"/>
      <c r="G406" s="86"/>
      <c r="H406" s="220"/>
      <c r="I406" s="249">
        <v>3210</v>
      </c>
      <c r="J406" s="9">
        <v>237025.75</v>
      </c>
      <c r="K406" s="49"/>
      <c r="L406" s="49"/>
      <c r="M406" s="49"/>
      <c r="N406" s="49"/>
      <c r="O406" s="49">
        <v>237025.75</v>
      </c>
      <c r="P406" s="49"/>
      <c r="Q406" s="49"/>
      <c r="R406" s="49"/>
      <c r="S406" s="49"/>
      <c r="T406" s="49"/>
      <c r="U406" s="49"/>
      <c r="V406" s="49"/>
      <c r="W406" s="49">
        <v>237025.75</v>
      </c>
      <c r="X406" s="40">
        <f t="shared" si="39"/>
        <v>0</v>
      </c>
    </row>
    <row r="407" spans="2:24" ht="78.75">
      <c r="B407" s="308"/>
      <c r="C407" s="308"/>
      <c r="D407" s="289"/>
      <c r="E407" s="47" t="s">
        <v>225</v>
      </c>
      <c r="F407" s="49"/>
      <c r="G407" s="86"/>
      <c r="H407" s="220"/>
      <c r="I407" s="249">
        <v>3210</v>
      </c>
      <c r="J407" s="9">
        <v>412514</v>
      </c>
      <c r="K407" s="49"/>
      <c r="L407" s="49"/>
      <c r="M407" s="49"/>
      <c r="N407" s="49"/>
      <c r="O407" s="49">
        <v>412514</v>
      </c>
      <c r="P407" s="49"/>
      <c r="Q407" s="49"/>
      <c r="R407" s="49"/>
      <c r="S407" s="49"/>
      <c r="T407" s="49"/>
      <c r="U407" s="49"/>
      <c r="V407" s="49"/>
      <c r="W407" s="49">
        <v>412514</v>
      </c>
      <c r="X407" s="40">
        <f t="shared" si="39"/>
        <v>0</v>
      </c>
    </row>
    <row r="408" spans="2:24" ht="31.5">
      <c r="B408" s="308"/>
      <c r="C408" s="308"/>
      <c r="D408" s="289"/>
      <c r="E408" s="47" t="s">
        <v>680</v>
      </c>
      <c r="F408" s="49"/>
      <c r="G408" s="86"/>
      <c r="H408" s="220"/>
      <c r="I408" s="249">
        <v>3210</v>
      </c>
      <c r="J408" s="9">
        <v>130000</v>
      </c>
      <c r="K408" s="49"/>
      <c r="L408" s="49"/>
      <c r="M408" s="49"/>
      <c r="N408" s="49"/>
      <c r="O408" s="49"/>
      <c r="P408" s="49"/>
      <c r="Q408" s="49"/>
      <c r="R408" s="49"/>
      <c r="S408" s="49">
        <v>130000</v>
      </c>
      <c r="T408" s="49"/>
      <c r="U408" s="49"/>
      <c r="V408" s="49"/>
      <c r="W408" s="49">
        <v>119981</v>
      </c>
      <c r="X408" s="40">
        <f t="shared" si="39"/>
        <v>10019</v>
      </c>
    </row>
    <row r="409" spans="2:24" ht="63">
      <c r="B409" s="308"/>
      <c r="C409" s="308"/>
      <c r="D409" s="289"/>
      <c r="E409" s="47" t="s">
        <v>916</v>
      </c>
      <c r="F409" s="49"/>
      <c r="G409" s="86"/>
      <c r="H409" s="220"/>
      <c r="I409" s="249">
        <v>3210</v>
      </c>
      <c r="J409" s="9">
        <f>30000+50000</f>
        <v>80000</v>
      </c>
      <c r="K409" s="49"/>
      <c r="L409" s="49"/>
      <c r="M409" s="49"/>
      <c r="N409" s="49"/>
      <c r="O409" s="49"/>
      <c r="P409" s="49"/>
      <c r="Q409" s="49"/>
      <c r="R409" s="49"/>
      <c r="S409" s="49"/>
      <c r="T409" s="49"/>
      <c r="U409" s="49">
        <v>30000</v>
      </c>
      <c r="V409" s="49">
        <v>50000</v>
      </c>
      <c r="W409" s="49">
        <f>77960</f>
        <v>77960</v>
      </c>
      <c r="X409" s="40">
        <f t="shared" si="39"/>
        <v>2040</v>
      </c>
    </row>
    <row r="410" spans="2:24" ht="63">
      <c r="B410" s="308"/>
      <c r="C410" s="308"/>
      <c r="D410" s="289"/>
      <c r="E410" s="47" t="s">
        <v>140</v>
      </c>
      <c r="F410" s="49"/>
      <c r="G410" s="86"/>
      <c r="H410" s="220"/>
      <c r="I410" s="249">
        <v>3210</v>
      </c>
      <c r="J410" s="9">
        <v>80000</v>
      </c>
      <c r="K410" s="49"/>
      <c r="L410" s="49"/>
      <c r="M410" s="49"/>
      <c r="N410" s="49"/>
      <c r="O410" s="49"/>
      <c r="P410" s="49"/>
      <c r="Q410" s="49"/>
      <c r="R410" s="49"/>
      <c r="S410" s="49"/>
      <c r="T410" s="49"/>
      <c r="U410" s="49">
        <v>80000</v>
      </c>
      <c r="V410" s="49"/>
      <c r="W410" s="49">
        <f>78004.89</f>
        <v>78004.89</v>
      </c>
      <c r="X410" s="40">
        <f t="shared" si="39"/>
        <v>1995.1100000000006</v>
      </c>
    </row>
    <row r="411" spans="2:24" ht="47.25" hidden="1">
      <c r="B411" s="308"/>
      <c r="C411" s="308"/>
      <c r="D411" s="289"/>
      <c r="E411" s="31" t="s">
        <v>72</v>
      </c>
      <c r="F411" s="49"/>
      <c r="G411" s="86"/>
      <c r="H411" s="220"/>
      <c r="I411" s="249">
        <v>3210</v>
      </c>
      <c r="J411" s="21">
        <f>80000-80000</f>
        <v>0</v>
      </c>
      <c r="K411" s="49"/>
      <c r="L411" s="49"/>
      <c r="M411" s="49"/>
      <c r="N411" s="49"/>
      <c r="O411" s="49">
        <v>10000</v>
      </c>
      <c r="P411" s="49">
        <v>25000</v>
      </c>
      <c r="Q411" s="49"/>
      <c r="R411" s="49">
        <v>45000</v>
      </c>
      <c r="S411" s="49"/>
      <c r="T411" s="49"/>
      <c r="U411" s="49">
        <v>-80000</v>
      </c>
      <c r="V411" s="49"/>
      <c r="W411" s="49"/>
      <c r="X411" s="40">
        <f t="shared" si="39"/>
        <v>0</v>
      </c>
    </row>
    <row r="412" spans="2:24" ht="47.25" hidden="1">
      <c r="B412" s="308"/>
      <c r="C412" s="308"/>
      <c r="D412" s="289"/>
      <c r="E412" s="83" t="s">
        <v>73</v>
      </c>
      <c r="F412" s="71"/>
      <c r="G412" s="84"/>
      <c r="H412" s="221"/>
      <c r="I412" s="249"/>
      <c r="J412" s="71">
        <f>J413</f>
        <v>0</v>
      </c>
      <c r="K412" s="71">
        <f aca="true" t="shared" si="40" ref="K412:W412">K413</f>
        <v>0</v>
      </c>
      <c r="L412" s="71">
        <f t="shared" si="40"/>
        <v>0</v>
      </c>
      <c r="M412" s="71">
        <f t="shared" si="40"/>
        <v>0</v>
      </c>
      <c r="N412" s="71">
        <f t="shared" si="40"/>
        <v>0</v>
      </c>
      <c r="O412" s="71">
        <f t="shared" si="40"/>
        <v>10000</v>
      </c>
      <c r="P412" s="71">
        <f t="shared" si="40"/>
        <v>-10000</v>
      </c>
      <c r="Q412" s="71">
        <f t="shared" si="40"/>
        <v>0</v>
      </c>
      <c r="R412" s="71">
        <f t="shared" si="40"/>
        <v>0</v>
      </c>
      <c r="S412" s="71">
        <f t="shared" si="40"/>
        <v>0</v>
      </c>
      <c r="T412" s="71">
        <f t="shared" si="40"/>
        <v>0</v>
      </c>
      <c r="U412" s="71">
        <f t="shared" si="40"/>
        <v>0</v>
      </c>
      <c r="V412" s="71">
        <f t="shared" si="40"/>
        <v>0</v>
      </c>
      <c r="W412" s="71">
        <f t="shared" si="40"/>
        <v>0</v>
      </c>
      <c r="X412" s="40">
        <f t="shared" si="39"/>
        <v>0</v>
      </c>
    </row>
    <row r="413" spans="2:24" ht="47.25" hidden="1">
      <c r="B413" s="308"/>
      <c r="C413" s="308"/>
      <c r="D413" s="289"/>
      <c r="E413" s="31" t="s">
        <v>181</v>
      </c>
      <c r="F413" s="49"/>
      <c r="G413" s="86"/>
      <c r="H413" s="220"/>
      <c r="I413" s="249">
        <v>3210</v>
      </c>
      <c r="J413" s="21">
        <f>80000-80000</f>
        <v>0</v>
      </c>
      <c r="K413" s="49"/>
      <c r="L413" s="49"/>
      <c r="M413" s="49"/>
      <c r="N413" s="49"/>
      <c r="O413" s="49">
        <v>10000</v>
      </c>
      <c r="P413" s="49">
        <f>25000-35000</f>
        <v>-10000</v>
      </c>
      <c r="Q413" s="49"/>
      <c r="R413" s="49">
        <f>45000-45000</f>
        <v>0</v>
      </c>
      <c r="S413" s="49"/>
      <c r="T413" s="49"/>
      <c r="U413" s="49"/>
      <c r="V413" s="49"/>
      <c r="W413" s="49"/>
      <c r="X413" s="40">
        <f t="shared" si="39"/>
        <v>0</v>
      </c>
    </row>
    <row r="414" spans="2:24" ht="15.75">
      <c r="B414" s="188"/>
      <c r="C414" s="194"/>
      <c r="D414" s="294" t="s">
        <v>510</v>
      </c>
      <c r="E414" s="295"/>
      <c r="F414" s="100"/>
      <c r="G414" s="101"/>
      <c r="H414" s="223"/>
      <c r="I414" s="254"/>
      <c r="J414" s="43">
        <f aca="true" t="shared" si="41" ref="J414:W414">J415+J473+J500+J532+J537</f>
        <v>21291720.73</v>
      </c>
      <c r="K414" s="43">
        <f t="shared" si="41"/>
        <v>0</v>
      </c>
      <c r="L414" s="43">
        <f t="shared" si="41"/>
        <v>1404653.81</v>
      </c>
      <c r="M414" s="43">
        <f t="shared" si="41"/>
        <v>562839</v>
      </c>
      <c r="N414" s="43">
        <f t="shared" si="41"/>
        <v>10500</v>
      </c>
      <c r="O414" s="43">
        <f t="shared" si="41"/>
        <v>1830718</v>
      </c>
      <c r="P414" s="43">
        <f t="shared" si="41"/>
        <v>1461150</v>
      </c>
      <c r="Q414" s="43">
        <f t="shared" si="41"/>
        <v>1405509</v>
      </c>
      <c r="R414" s="43">
        <f t="shared" si="41"/>
        <v>8089810.529999999</v>
      </c>
      <c r="S414" s="43">
        <f t="shared" si="41"/>
        <v>5578493.99</v>
      </c>
      <c r="T414" s="43">
        <f t="shared" si="41"/>
        <v>948046.4</v>
      </c>
      <c r="U414" s="43">
        <f t="shared" si="41"/>
        <v>0</v>
      </c>
      <c r="V414" s="43">
        <f t="shared" si="41"/>
        <v>0</v>
      </c>
      <c r="W414" s="43">
        <f t="shared" si="41"/>
        <v>20863305.07</v>
      </c>
      <c r="X414" s="60">
        <f t="shared" si="39"/>
        <v>428415.66000000015</v>
      </c>
    </row>
    <row r="415" spans="2:24" ht="15.75">
      <c r="B415" s="291" t="s">
        <v>489</v>
      </c>
      <c r="C415" s="291" t="s">
        <v>555</v>
      </c>
      <c r="D415" s="288" t="s">
        <v>447</v>
      </c>
      <c r="E415" s="94"/>
      <c r="F415" s="76"/>
      <c r="G415" s="99"/>
      <c r="H415" s="224"/>
      <c r="I415" s="255"/>
      <c r="J415" s="211">
        <f>J416+J417+J418+J422+J423+J424+J425+J426+J427+J433+J438+J444+J445+J455+J456+J458+J459+J460+J461+J462+J463+J464+J465+J428+J429+J430+J457+J472+J466+J431+J467+J469+J471+J470+J468+J432</f>
        <v>9380863.770000001</v>
      </c>
      <c r="K415" s="211">
        <f aca="true" t="shared" si="42" ref="K415:W415">K416+K417+K418+K422+K423+K424+K425+K426+K427+K433+K438+K444+K445+K455+K456+K458+K459+K460+K461+K462+K463+K464+K465+K428+K429+K430+K457+K472+K466+K431+K467+K469+K471+K470+K468+K432</f>
        <v>0</v>
      </c>
      <c r="L415" s="211">
        <f t="shared" si="42"/>
        <v>370514.57</v>
      </c>
      <c r="M415" s="211">
        <f t="shared" si="42"/>
        <v>558900</v>
      </c>
      <c r="N415" s="211">
        <f t="shared" si="42"/>
        <v>10500</v>
      </c>
      <c r="O415" s="211">
        <f t="shared" si="42"/>
        <v>1344096</v>
      </c>
      <c r="P415" s="211">
        <f t="shared" si="42"/>
        <v>640910</v>
      </c>
      <c r="Q415" s="211">
        <f t="shared" si="42"/>
        <v>450509</v>
      </c>
      <c r="R415" s="211">
        <f t="shared" si="42"/>
        <v>4332506</v>
      </c>
      <c r="S415" s="211">
        <f t="shared" si="42"/>
        <v>1704920</v>
      </c>
      <c r="T415" s="211">
        <f t="shared" si="42"/>
        <v>200000</v>
      </c>
      <c r="U415" s="211">
        <f t="shared" si="42"/>
        <v>-112171.39999999997</v>
      </c>
      <c r="V415" s="211">
        <f t="shared" si="42"/>
        <v>-119820.40000000002</v>
      </c>
      <c r="W415" s="211">
        <f t="shared" si="42"/>
        <v>9124161.34</v>
      </c>
      <c r="X415" s="184">
        <f t="shared" si="39"/>
        <v>256702.43000000156</v>
      </c>
    </row>
    <row r="416" spans="2:24" ht="78.75">
      <c r="B416" s="292"/>
      <c r="C416" s="292"/>
      <c r="D416" s="289"/>
      <c r="E416" s="19" t="s">
        <v>498</v>
      </c>
      <c r="F416" s="76">
        <v>932964</v>
      </c>
      <c r="G416" s="18">
        <f>100%-((F416-H416)/F416)</f>
        <v>0.8011048657826025</v>
      </c>
      <c r="H416" s="224">
        <v>747402</v>
      </c>
      <c r="I416" s="255">
        <v>3132</v>
      </c>
      <c r="J416" s="9">
        <v>111226.2</v>
      </c>
      <c r="K416" s="49"/>
      <c r="L416" s="9">
        <v>111226.2</v>
      </c>
      <c r="M416" s="49"/>
      <c r="N416" s="49"/>
      <c r="O416" s="49"/>
      <c r="P416" s="49"/>
      <c r="Q416" s="49"/>
      <c r="R416" s="49"/>
      <c r="S416" s="49"/>
      <c r="T416" s="49"/>
      <c r="U416" s="49"/>
      <c r="V416" s="49"/>
      <c r="W416" s="9">
        <v>111226.2</v>
      </c>
      <c r="X416" s="40">
        <f t="shared" si="39"/>
        <v>0</v>
      </c>
    </row>
    <row r="417" spans="2:24" ht="47.25">
      <c r="B417" s="292"/>
      <c r="C417" s="292"/>
      <c r="D417" s="289"/>
      <c r="E417" s="20" t="s">
        <v>683</v>
      </c>
      <c r="F417" s="76"/>
      <c r="G417" s="99"/>
      <c r="H417" s="224"/>
      <c r="I417" s="255">
        <v>3110</v>
      </c>
      <c r="J417" s="9">
        <v>97000</v>
      </c>
      <c r="K417" s="49"/>
      <c r="L417" s="9">
        <v>97000</v>
      </c>
      <c r="M417" s="49"/>
      <c r="N417" s="49"/>
      <c r="O417" s="49"/>
      <c r="P417" s="49"/>
      <c r="Q417" s="49"/>
      <c r="R417" s="49"/>
      <c r="S417" s="49"/>
      <c r="T417" s="49"/>
      <c r="U417" s="49"/>
      <c r="V417" s="49"/>
      <c r="W417" s="9">
        <v>97000</v>
      </c>
      <c r="X417" s="40">
        <f t="shared" si="39"/>
        <v>0</v>
      </c>
    </row>
    <row r="418" spans="2:24" ht="78.75">
      <c r="B418" s="292"/>
      <c r="C418" s="292"/>
      <c r="D418" s="289"/>
      <c r="E418" s="10" t="s">
        <v>243</v>
      </c>
      <c r="F418" s="76"/>
      <c r="G418" s="99"/>
      <c r="H418" s="224"/>
      <c r="I418" s="255"/>
      <c r="J418" s="21">
        <f>SUM(J419:J421)</f>
        <v>60800</v>
      </c>
      <c r="K418" s="49"/>
      <c r="L418" s="21">
        <f>SUM(L419:L421)</f>
        <v>60800</v>
      </c>
      <c r="M418" s="49"/>
      <c r="N418" s="49"/>
      <c r="O418" s="49"/>
      <c r="P418" s="49"/>
      <c r="Q418" s="49"/>
      <c r="R418" s="49"/>
      <c r="S418" s="49"/>
      <c r="T418" s="49"/>
      <c r="U418" s="49"/>
      <c r="V418" s="49"/>
      <c r="W418" s="21">
        <f>SUM(W419:W421)</f>
        <v>60800</v>
      </c>
      <c r="X418" s="40">
        <f t="shared" si="39"/>
        <v>0</v>
      </c>
    </row>
    <row r="419" spans="2:24" ht="47.25">
      <c r="B419" s="292"/>
      <c r="C419" s="292"/>
      <c r="D419" s="289"/>
      <c r="E419" s="22" t="s">
        <v>685</v>
      </c>
      <c r="F419" s="76"/>
      <c r="G419" s="99"/>
      <c r="H419" s="224"/>
      <c r="I419" s="255">
        <v>3110</v>
      </c>
      <c r="J419" s="9">
        <v>38300</v>
      </c>
      <c r="K419" s="49"/>
      <c r="L419" s="9">
        <v>38300</v>
      </c>
      <c r="M419" s="49"/>
      <c r="N419" s="49"/>
      <c r="O419" s="49"/>
      <c r="P419" s="49"/>
      <c r="Q419" s="49"/>
      <c r="R419" s="49"/>
      <c r="S419" s="49"/>
      <c r="T419" s="49"/>
      <c r="U419" s="49"/>
      <c r="V419" s="49"/>
      <c r="W419" s="9">
        <v>38300</v>
      </c>
      <c r="X419" s="40">
        <f t="shared" si="39"/>
        <v>0</v>
      </c>
    </row>
    <row r="420" spans="2:24" ht="31.5">
      <c r="B420" s="292"/>
      <c r="C420" s="292"/>
      <c r="D420" s="289"/>
      <c r="E420" s="23" t="s">
        <v>695</v>
      </c>
      <c r="F420" s="76"/>
      <c r="G420" s="99"/>
      <c r="H420" s="224"/>
      <c r="I420" s="255">
        <v>3110</v>
      </c>
      <c r="J420" s="9">
        <v>8000</v>
      </c>
      <c r="K420" s="49"/>
      <c r="L420" s="9">
        <v>8000</v>
      </c>
      <c r="M420" s="49"/>
      <c r="N420" s="49"/>
      <c r="O420" s="49"/>
      <c r="P420" s="49"/>
      <c r="Q420" s="49"/>
      <c r="R420" s="49"/>
      <c r="S420" s="49"/>
      <c r="T420" s="49"/>
      <c r="U420" s="49"/>
      <c r="V420" s="49"/>
      <c r="W420" s="9">
        <v>8000</v>
      </c>
      <c r="X420" s="40">
        <f t="shared" si="39"/>
        <v>0</v>
      </c>
    </row>
    <row r="421" spans="2:24" ht="31.5">
      <c r="B421" s="292"/>
      <c r="C421" s="292"/>
      <c r="D421" s="289"/>
      <c r="E421" s="23" t="s">
        <v>696</v>
      </c>
      <c r="F421" s="76"/>
      <c r="G421" s="99"/>
      <c r="H421" s="224"/>
      <c r="I421" s="255">
        <v>3110</v>
      </c>
      <c r="J421" s="9">
        <v>14500</v>
      </c>
      <c r="K421" s="49"/>
      <c r="L421" s="9">
        <v>14500</v>
      </c>
      <c r="M421" s="49"/>
      <c r="N421" s="49"/>
      <c r="O421" s="49"/>
      <c r="P421" s="49"/>
      <c r="Q421" s="49"/>
      <c r="R421" s="49"/>
      <c r="S421" s="49"/>
      <c r="T421" s="49"/>
      <c r="U421" s="49"/>
      <c r="V421" s="49"/>
      <c r="W421" s="9">
        <v>14500</v>
      </c>
      <c r="X421" s="40">
        <f t="shared" si="39"/>
        <v>0</v>
      </c>
    </row>
    <row r="422" spans="2:24" ht="110.25">
      <c r="B422" s="292"/>
      <c r="C422" s="292"/>
      <c r="D422" s="289"/>
      <c r="E422" s="10" t="s">
        <v>327</v>
      </c>
      <c r="F422" s="76">
        <v>97897.24</v>
      </c>
      <c r="G422" s="18">
        <f>100%-((F422-H422)/F422)</f>
        <v>0</v>
      </c>
      <c r="H422" s="224">
        <v>0</v>
      </c>
      <c r="I422" s="255">
        <v>3132</v>
      </c>
      <c r="J422" s="9">
        <v>70373.24</v>
      </c>
      <c r="K422" s="49"/>
      <c r="L422" s="9">
        <v>70373.24</v>
      </c>
      <c r="M422" s="49"/>
      <c r="N422" s="49"/>
      <c r="O422" s="49"/>
      <c r="P422" s="49"/>
      <c r="Q422" s="49"/>
      <c r="R422" s="49"/>
      <c r="S422" s="49"/>
      <c r="T422" s="49"/>
      <c r="U422" s="49"/>
      <c r="V422" s="49"/>
      <c r="W422" s="9">
        <v>70373.24</v>
      </c>
      <c r="X422" s="40">
        <f t="shared" si="39"/>
        <v>0</v>
      </c>
    </row>
    <row r="423" spans="2:24" ht="63">
      <c r="B423" s="292"/>
      <c r="C423" s="292"/>
      <c r="D423" s="289"/>
      <c r="E423" s="10" t="s">
        <v>805</v>
      </c>
      <c r="F423" s="76"/>
      <c r="G423" s="18"/>
      <c r="H423" s="224"/>
      <c r="I423" s="255">
        <v>3110</v>
      </c>
      <c r="J423" s="9">
        <v>14915</v>
      </c>
      <c r="K423" s="49"/>
      <c r="L423" s="9">
        <v>14915</v>
      </c>
      <c r="M423" s="49"/>
      <c r="N423" s="49"/>
      <c r="O423" s="49"/>
      <c r="P423" s="49"/>
      <c r="Q423" s="49"/>
      <c r="R423" s="49"/>
      <c r="S423" s="49"/>
      <c r="T423" s="49"/>
      <c r="U423" s="49"/>
      <c r="V423" s="49"/>
      <c r="W423" s="9">
        <v>14915</v>
      </c>
      <c r="X423" s="40">
        <f t="shared" si="39"/>
        <v>0</v>
      </c>
    </row>
    <row r="424" spans="2:24" ht="78.75">
      <c r="B424" s="292"/>
      <c r="C424" s="292"/>
      <c r="D424" s="289"/>
      <c r="E424" s="10" t="s">
        <v>344</v>
      </c>
      <c r="F424" s="76">
        <v>225589.65</v>
      </c>
      <c r="G424" s="18">
        <f>100%-((F424-H424)/F424)</f>
        <v>0</v>
      </c>
      <c r="H424" s="224">
        <v>0</v>
      </c>
      <c r="I424" s="255">
        <v>3132</v>
      </c>
      <c r="J424" s="9">
        <v>9250.13</v>
      </c>
      <c r="K424" s="49"/>
      <c r="L424" s="9">
        <v>9250.13</v>
      </c>
      <c r="M424" s="49"/>
      <c r="N424" s="49"/>
      <c r="O424" s="49"/>
      <c r="P424" s="49"/>
      <c r="Q424" s="49"/>
      <c r="R424" s="49"/>
      <c r="S424" s="49"/>
      <c r="T424" s="49"/>
      <c r="U424" s="49"/>
      <c r="V424" s="49"/>
      <c r="W424" s="9">
        <v>9250.13</v>
      </c>
      <c r="X424" s="40">
        <f t="shared" si="39"/>
        <v>0</v>
      </c>
    </row>
    <row r="425" spans="2:24" ht="47.25">
      <c r="B425" s="292"/>
      <c r="C425" s="292"/>
      <c r="D425" s="289"/>
      <c r="E425" s="10" t="s">
        <v>699</v>
      </c>
      <c r="F425" s="76"/>
      <c r="G425" s="18"/>
      <c r="H425" s="224"/>
      <c r="I425" s="255">
        <v>3110</v>
      </c>
      <c r="J425" s="9">
        <v>6950</v>
      </c>
      <c r="K425" s="49"/>
      <c r="L425" s="9">
        <v>6950</v>
      </c>
      <c r="M425" s="49"/>
      <c r="N425" s="49"/>
      <c r="O425" s="49"/>
      <c r="P425" s="49"/>
      <c r="Q425" s="49"/>
      <c r="R425" s="49"/>
      <c r="S425" s="49"/>
      <c r="T425" s="49"/>
      <c r="U425" s="49"/>
      <c r="V425" s="49"/>
      <c r="W425" s="9">
        <v>6950</v>
      </c>
      <c r="X425" s="40">
        <f t="shared" si="39"/>
        <v>0</v>
      </c>
    </row>
    <row r="426" spans="2:24" ht="78.75">
      <c r="B426" s="292"/>
      <c r="C426" s="292"/>
      <c r="D426" s="289"/>
      <c r="E426" s="10" t="s">
        <v>376</v>
      </c>
      <c r="F426" s="76"/>
      <c r="G426" s="18"/>
      <c r="H426" s="224"/>
      <c r="I426" s="251" t="s">
        <v>953</v>
      </c>
      <c r="J426" s="9">
        <v>400000</v>
      </c>
      <c r="K426" s="49"/>
      <c r="L426" s="9"/>
      <c r="M426" s="49">
        <v>400000</v>
      </c>
      <c r="N426" s="49"/>
      <c r="O426" s="49"/>
      <c r="P426" s="49"/>
      <c r="Q426" s="49"/>
      <c r="R426" s="49"/>
      <c r="S426" s="49"/>
      <c r="T426" s="49"/>
      <c r="U426" s="49"/>
      <c r="V426" s="49"/>
      <c r="W426" s="9">
        <f>400000-315.08</f>
        <v>399684.92</v>
      </c>
      <c r="X426" s="40">
        <f t="shared" si="39"/>
        <v>315.0800000000163</v>
      </c>
    </row>
    <row r="427" spans="2:24" ht="78.75">
      <c r="B427" s="292"/>
      <c r="C427" s="292"/>
      <c r="D427" s="289"/>
      <c r="E427" s="10" t="s">
        <v>876</v>
      </c>
      <c r="F427" s="76"/>
      <c r="G427" s="18"/>
      <c r="H427" s="224"/>
      <c r="I427" s="255">
        <v>3110</v>
      </c>
      <c r="J427" s="9">
        <f>13000+5000</f>
        <v>18000</v>
      </c>
      <c r="K427" s="49"/>
      <c r="L427" s="9"/>
      <c r="M427" s="49">
        <f>13000+5000</f>
        <v>18000</v>
      </c>
      <c r="N427" s="49"/>
      <c r="O427" s="49"/>
      <c r="P427" s="49"/>
      <c r="Q427" s="49"/>
      <c r="R427" s="49"/>
      <c r="S427" s="49"/>
      <c r="T427" s="49"/>
      <c r="U427" s="49"/>
      <c r="V427" s="49"/>
      <c r="W427" s="9">
        <f>13000+5000</f>
        <v>18000</v>
      </c>
      <c r="X427" s="40">
        <f t="shared" si="39"/>
        <v>0</v>
      </c>
    </row>
    <row r="428" spans="2:24" ht="94.5">
      <c r="B428" s="292"/>
      <c r="C428" s="292"/>
      <c r="D428" s="289"/>
      <c r="E428" s="10" t="s">
        <v>882</v>
      </c>
      <c r="F428" s="76"/>
      <c r="G428" s="18"/>
      <c r="H428" s="224"/>
      <c r="I428" s="255">
        <v>3110</v>
      </c>
      <c r="J428" s="9">
        <v>10500</v>
      </c>
      <c r="K428" s="49"/>
      <c r="L428" s="49"/>
      <c r="M428" s="49"/>
      <c r="N428" s="49">
        <v>10500</v>
      </c>
      <c r="O428" s="49"/>
      <c r="P428" s="49"/>
      <c r="Q428" s="49"/>
      <c r="R428" s="49"/>
      <c r="S428" s="49"/>
      <c r="T428" s="49"/>
      <c r="U428" s="49"/>
      <c r="V428" s="49"/>
      <c r="W428" s="9">
        <v>10500</v>
      </c>
      <c r="X428" s="40">
        <f t="shared" si="39"/>
        <v>0</v>
      </c>
    </row>
    <row r="429" spans="2:24" ht="63">
      <c r="B429" s="292"/>
      <c r="C429" s="292"/>
      <c r="D429" s="289"/>
      <c r="E429" s="10" t="s">
        <v>218</v>
      </c>
      <c r="F429" s="76"/>
      <c r="G429" s="18"/>
      <c r="H429" s="224"/>
      <c r="I429" s="255">
        <v>3110</v>
      </c>
      <c r="J429" s="9">
        <v>10900</v>
      </c>
      <c r="K429" s="49"/>
      <c r="L429" s="49"/>
      <c r="M429" s="49">
        <v>10900</v>
      </c>
      <c r="N429" s="49"/>
      <c r="O429" s="49"/>
      <c r="P429" s="49"/>
      <c r="Q429" s="49"/>
      <c r="R429" s="49"/>
      <c r="S429" s="49"/>
      <c r="T429" s="49"/>
      <c r="U429" s="49"/>
      <c r="V429" s="49"/>
      <c r="W429" s="9">
        <v>10900</v>
      </c>
      <c r="X429" s="40">
        <f t="shared" si="39"/>
        <v>0</v>
      </c>
    </row>
    <row r="430" spans="2:24" ht="94.5">
      <c r="B430" s="292"/>
      <c r="C430" s="292"/>
      <c r="D430" s="289"/>
      <c r="E430" s="10" t="s">
        <v>670</v>
      </c>
      <c r="F430" s="76">
        <v>130000</v>
      </c>
      <c r="G430" s="18">
        <f>100%-((F430-H430)/F430)</f>
        <v>1</v>
      </c>
      <c r="H430" s="224">
        <v>130000</v>
      </c>
      <c r="I430" s="255">
        <v>3132</v>
      </c>
      <c r="J430" s="9">
        <v>130000</v>
      </c>
      <c r="K430" s="49"/>
      <c r="L430" s="49"/>
      <c r="M430" s="49">
        <v>130000</v>
      </c>
      <c r="N430" s="49"/>
      <c r="O430" s="49"/>
      <c r="P430" s="49"/>
      <c r="Q430" s="49"/>
      <c r="R430" s="49"/>
      <c r="S430" s="49"/>
      <c r="T430" s="49"/>
      <c r="U430" s="49"/>
      <c r="V430" s="49"/>
      <c r="W430" s="9">
        <v>130000</v>
      </c>
      <c r="X430" s="40">
        <f t="shared" si="39"/>
        <v>0</v>
      </c>
    </row>
    <row r="431" spans="2:24" ht="94.5">
      <c r="B431" s="292"/>
      <c r="C431" s="292"/>
      <c r="D431" s="289"/>
      <c r="E431" s="10" t="s">
        <v>360</v>
      </c>
      <c r="F431" s="76"/>
      <c r="G431" s="18"/>
      <c r="H431" s="224"/>
      <c r="I431" s="255">
        <v>3132</v>
      </c>
      <c r="J431" s="9">
        <v>150000</v>
      </c>
      <c r="K431" s="49"/>
      <c r="L431" s="49"/>
      <c r="M431" s="49"/>
      <c r="N431" s="49"/>
      <c r="O431" s="49"/>
      <c r="P431" s="49"/>
      <c r="Q431" s="49"/>
      <c r="R431" s="49"/>
      <c r="S431" s="49">
        <v>150000</v>
      </c>
      <c r="T431" s="49"/>
      <c r="U431" s="49"/>
      <c r="V431" s="49"/>
      <c r="W431" s="9">
        <v>150000</v>
      </c>
      <c r="X431" s="40">
        <f t="shared" si="39"/>
        <v>0</v>
      </c>
    </row>
    <row r="432" spans="2:24" ht="78.75">
      <c r="B432" s="292"/>
      <c r="C432" s="292"/>
      <c r="D432" s="289"/>
      <c r="E432" s="10" t="s">
        <v>915</v>
      </c>
      <c r="F432" s="76"/>
      <c r="G432" s="18"/>
      <c r="H432" s="224"/>
      <c r="I432" s="255">
        <v>3132</v>
      </c>
      <c r="J432" s="9">
        <v>310000</v>
      </c>
      <c r="K432" s="49"/>
      <c r="L432" s="49"/>
      <c r="M432" s="49"/>
      <c r="N432" s="49"/>
      <c r="O432" s="49"/>
      <c r="P432" s="49"/>
      <c r="Q432" s="49"/>
      <c r="R432" s="49"/>
      <c r="S432" s="49"/>
      <c r="T432" s="49"/>
      <c r="U432" s="49"/>
      <c r="V432" s="49">
        <v>310000</v>
      </c>
      <c r="W432" s="9">
        <v>310000</v>
      </c>
      <c r="X432" s="40">
        <f t="shared" si="39"/>
        <v>0</v>
      </c>
    </row>
    <row r="433" spans="2:24" ht="47.25">
      <c r="B433" s="292"/>
      <c r="C433" s="292"/>
      <c r="D433" s="289"/>
      <c r="E433" s="88" t="s">
        <v>182</v>
      </c>
      <c r="F433" s="49"/>
      <c r="G433" s="50"/>
      <c r="H433" s="220"/>
      <c r="I433" s="255"/>
      <c r="J433" s="9">
        <f>SUM(J434:J437)</f>
        <v>392983</v>
      </c>
      <c r="K433" s="9">
        <f aca="true" t="shared" si="43" ref="K433:W433">SUM(K434:K437)</f>
        <v>0</v>
      </c>
      <c r="L433" s="9">
        <f t="shared" si="43"/>
        <v>0</v>
      </c>
      <c r="M433" s="9">
        <f t="shared" si="43"/>
        <v>0</v>
      </c>
      <c r="N433" s="9">
        <f t="shared" si="43"/>
        <v>0</v>
      </c>
      <c r="O433" s="9">
        <f t="shared" si="43"/>
        <v>35625</v>
      </c>
      <c r="P433" s="9">
        <f t="shared" si="43"/>
        <v>0</v>
      </c>
      <c r="Q433" s="9">
        <f t="shared" si="43"/>
        <v>0</v>
      </c>
      <c r="R433" s="9">
        <f t="shared" si="43"/>
        <v>359246</v>
      </c>
      <c r="S433" s="9">
        <f t="shared" si="43"/>
        <v>0</v>
      </c>
      <c r="T433" s="9">
        <f t="shared" si="43"/>
        <v>0</v>
      </c>
      <c r="U433" s="9">
        <f t="shared" si="43"/>
        <v>-1888</v>
      </c>
      <c r="V433" s="9">
        <f t="shared" si="43"/>
        <v>0</v>
      </c>
      <c r="W433" s="9">
        <f t="shared" si="43"/>
        <v>392747.5</v>
      </c>
      <c r="X433" s="40">
        <f t="shared" si="39"/>
        <v>235.5</v>
      </c>
    </row>
    <row r="434" spans="2:24" ht="15.75">
      <c r="B434" s="292"/>
      <c r="C434" s="292"/>
      <c r="D434" s="289"/>
      <c r="E434" s="89" t="s">
        <v>183</v>
      </c>
      <c r="F434" s="49"/>
      <c r="G434" s="50"/>
      <c r="H434" s="220"/>
      <c r="I434" s="255">
        <v>3110</v>
      </c>
      <c r="J434" s="49">
        <v>35625</v>
      </c>
      <c r="K434" s="49"/>
      <c r="L434" s="49"/>
      <c r="M434" s="49"/>
      <c r="N434" s="49"/>
      <c r="O434" s="49">
        <v>35625</v>
      </c>
      <c r="P434" s="49"/>
      <c r="Q434" s="49"/>
      <c r="R434" s="49"/>
      <c r="S434" s="49"/>
      <c r="T434" s="49"/>
      <c r="U434" s="49"/>
      <c r="V434" s="49"/>
      <c r="W434" s="49">
        <f>35625-87.5</f>
        <v>35537.5</v>
      </c>
      <c r="X434" s="40">
        <f t="shared" si="39"/>
        <v>87.5</v>
      </c>
    </row>
    <row r="435" spans="2:24" ht="15.75">
      <c r="B435" s="292"/>
      <c r="C435" s="292"/>
      <c r="D435" s="289"/>
      <c r="E435" s="89" t="s">
        <v>184</v>
      </c>
      <c r="F435" s="49"/>
      <c r="G435" s="50"/>
      <c r="H435" s="220"/>
      <c r="I435" s="255">
        <v>3110</v>
      </c>
      <c r="J435" s="49">
        <v>91200</v>
      </c>
      <c r="K435" s="49"/>
      <c r="L435" s="49"/>
      <c r="M435" s="49"/>
      <c r="N435" s="49"/>
      <c r="O435" s="49"/>
      <c r="P435" s="49"/>
      <c r="Q435" s="49"/>
      <c r="R435" s="49">
        <v>91200</v>
      </c>
      <c r="S435" s="49"/>
      <c r="T435" s="49"/>
      <c r="U435" s="49"/>
      <c r="V435" s="49"/>
      <c r="W435" s="49">
        <f>34400+56800</f>
        <v>91200</v>
      </c>
      <c r="X435" s="40">
        <f t="shared" si="39"/>
        <v>0</v>
      </c>
    </row>
    <row r="436" spans="2:24" ht="15.75">
      <c r="B436" s="292"/>
      <c r="C436" s="292"/>
      <c r="D436" s="289"/>
      <c r="E436" s="89" t="s">
        <v>185</v>
      </c>
      <c r="F436" s="49"/>
      <c r="G436" s="50"/>
      <c r="H436" s="220"/>
      <c r="I436" s="255">
        <v>3110</v>
      </c>
      <c r="J436" s="49">
        <f>176435-1888</f>
        <v>174547</v>
      </c>
      <c r="K436" s="49"/>
      <c r="L436" s="49"/>
      <c r="M436" s="49"/>
      <c r="N436" s="49"/>
      <c r="O436" s="49"/>
      <c r="P436" s="49"/>
      <c r="Q436" s="49"/>
      <c r="R436" s="49">
        <v>176435</v>
      </c>
      <c r="S436" s="49"/>
      <c r="T436" s="49"/>
      <c r="U436" s="49">
        <v>-1888</v>
      </c>
      <c r="V436" s="49"/>
      <c r="W436" s="49">
        <v>174400</v>
      </c>
      <c r="X436" s="40">
        <f t="shared" si="39"/>
        <v>147</v>
      </c>
    </row>
    <row r="437" spans="2:24" ht="15.75">
      <c r="B437" s="292"/>
      <c r="C437" s="292"/>
      <c r="D437" s="289"/>
      <c r="E437" s="89" t="s">
        <v>820</v>
      </c>
      <c r="F437" s="49"/>
      <c r="G437" s="50"/>
      <c r="H437" s="220"/>
      <c r="I437" s="255">
        <v>3110</v>
      </c>
      <c r="J437" s="49">
        <v>91611</v>
      </c>
      <c r="K437" s="49"/>
      <c r="L437" s="49"/>
      <c r="M437" s="49"/>
      <c r="N437" s="49"/>
      <c r="O437" s="49"/>
      <c r="P437" s="49"/>
      <c r="Q437" s="49"/>
      <c r="R437" s="49">
        <v>91611</v>
      </c>
      <c r="S437" s="49"/>
      <c r="T437" s="49"/>
      <c r="U437" s="49"/>
      <c r="V437" s="49"/>
      <c r="W437" s="49">
        <f>33270+58340</f>
        <v>91610</v>
      </c>
      <c r="X437" s="40">
        <f t="shared" si="39"/>
        <v>1</v>
      </c>
    </row>
    <row r="438" spans="2:24" ht="63">
      <c r="B438" s="292"/>
      <c r="C438" s="292"/>
      <c r="D438" s="289"/>
      <c r="E438" s="88" t="s">
        <v>449</v>
      </c>
      <c r="F438" s="49"/>
      <c r="G438" s="50"/>
      <c r="H438" s="220"/>
      <c r="I438" s="255"/>
      <c r="J438" s="9">
        <f>SUM(J439:J443)</f>
        <v>239370</v>
      </c>
      <c r="K438" s="9">
        <f aca="true" t="shared" si="44" ref="K438:W438">SUM(K439:K443)</f>
        <v>0</v>
      </c>
      <c r="L438" s="9">
        <f t="shared" si="44"/>
        <v>0</v>
      </c>
      <c r="M438" s="9">
        <f t="shared" si="44"/>
        <v>0</v>
      </c>
      <c r="N438" s="9">
        <f t="shared" si="44"/>
        <v>0</v>
      </c>
      <c r="O438" s="9">
        <f t="shared" si="44"/>
        <v>23520</v>
      </c>
      <c r="P438" s="9">
        <f t="shared" si="44"/>
        <v>-4500</v>
      </c>
      <c r="Q438" s="9">
        <f t="shared" si="44"/>
        <v>0</v>
      </c>
      <c r="R438" s="9">
        <f t="shared" si="44"/>
        <v>230700</v>
      </c>
      <c r="S438" s="9">
        <f t="shared" si="44"/>
        <v>0</v>
      </c>
      <c r="T438" s="9">
        <f t="shared" si="44"/>
        <v>0</v>
      </c>
      <c r="U438" s="9">
        <f t="shared" si="44"/>
        <v>-10350</v>
      </c>
      <c r="V438" s="9">
        <f t="shared" si="44"/>
        <v>0</v>
      </c>
      <c r="W438" s="9">
        <f t="shared" si="44"/>
        <v>239370</v>
      </c>
      <c r="X438" s="40">
        <f t="shared" si="39"/>
        <v>0</v>
      </c>
    </row>
    <row r="439" spans="2:24" ht="15.75">
      <c r="B439" s="292"/>
      <c r="C439" s="292"/>
      <c r="D439" s="289"/>
      <c r="E439" s="90" t="s">
        <v>450</v>
      </c>
      <c r="F439" s="49"/>
      <c r="G439" s="50"/>
      <c r="H439" s="220"/>
      <c r="I439" s="255">
        <v>3110</v>
      </c>
      <c r="J439" s="49">
        <f>6790-990</f>
        <v>5800</v>
      </c>
      <c r="K439" s="49"/>
      <c r="L439" s="49"/>
      <c r="M439" s="49"/>
      <c r="N439" s="49"/>
      <c r="O439" s="49">
        <v>6790</v>
      </c>
      <c r="P439" s="49">
        <v>-990</v>
      </c>
      <c r="Q439" s="49"/>
      <c r="R439" s="49">
        <v>990</v>
      </c>
      <c r="S439" s="49"/>
      <c r="T439" s="49"/>
      <c r="U439" s="49">
        <v>-990</v>
      </c>
      <c r="V439" s="49"/>
      <c r="W439" s="49">
        <v>5800</v>
      </c>
      <c r="X439" s="40">
        <f t="shared" si="39"/>
        <v>0</v>
      </c>
    </row>
    <row r="440" spans="2:24" ht="15.75">
      <c r="B440" s="292"/>
      <c r="C440" s="292"/>
      <c r="D440" s="289"/>
      <c r="E440" s="90" t="s">
        <v>451</v>
      </c>
      <c r="F440" s="49"/>
      <c r="G440" s="50"/>
      <c r="H440" s="220"/>
      <c r="I440" s="255">
        <v>3110</v>
      </c>
      <c r="J440" s="49">
        <f>5880-1390</f>
        <v>4490</v>
      </c>
      <c r="K440" s="49"/>
      <c r="L440" s="49"/>
      <c r="M440" s="49"/>
      <c r="N440" s="49"/>
      <c r="O440" s="49">
        <v>5880</v>
      </c>
      <c r="P440" s="49">
        <v>-1390</v>
      </c>
      <c r="Q440" s="49"/>
      <c r="R440" s="49">
        <v>1390</v>
      </c>
      <c r="S440" s="49"/>
      <c r="T440" s="49"/>
      <c r="U440" s="49">
        <v>-1390</v>
      </c>
      <c r="V440" s="49"/>
      <c r="W440" s="49">
        <v>4490</v>
      </c>
      <c r="X440" s="40">
        <f t="shared" si="39"/>
        <v>0</v>
      </c>
    </row>
    <row r="441" spans="2:24" ht="15.75">
      <c r="B441" s="292"/>
      <c r="C441" s="292"/>
      <c r="D441" s="289"/>
      <c r="E441" s="90" t="s">
        <v>452</v>
      </c>
      <c r="F441" s="49"/>
      <c r="G441" s="50"/>
      <c r="H441" s="220"/>
      <c r="I441" s="255">
        <v>3110</v>
      </c>
      <c r="J441" s="49">
        <v>5090</v>
      </c>
      <c r="K441" s="49"/>
      <c r="L441" s="49"/>
      <c r="M441" s="49"/>
      <c r="N441" s="49"/>
      <c r="O441" s="49">
        <v>5090</v>
      </c>
      <c r="P441" s="49"/>
      <c r="Q441" s="49"/>
      <c r="R441" s="49"/>
      <c r="S441" s="49"/>
      <c r="T441" s="49"/>
      <c r="U441" s="49"/>
      <c r="V441" s="49"/>
      <c r="W441" s="49">
        <v>5090</v>
      </c>
      <c r="X441" s="40">
        <f t="shared" si="39"/>
        <v>0</v>
      </c>
    </row>
    <row r="442" spans="2:24" ht="31.5">
      <c r="B442" s="292"/>
      <c r="C442" s="292"/>
      <c r="D442" s="289"/>
      <c r="E442" s="90" t="s">
        <v>453</v>
      </c>
      <c r="F442" s="49"/>
      <c r="G442" s="50"/>
      <c r="H442" s="220"/>
      <c r="I442" s="255">
        <v>3110</v>
      </c>
      <c r="J442" s="49">
        <f>5760-2120</f>
        <v>3640</v>
      </c>
      <c r="K442" s="49"/>
      <c r="L442" s="49"/>
      <c r="M442" s="49"/>
      <c r="N442" s="49"/>
      <c r="O442" s="49">
        <v>5760</v>
      </c>
      <c r="P442" s="49">
        <v>-2120</v>
      </c>
      <c r="Q442" s="49"/>
      <c r="R442" s="49">
        <v>2120</v>
      </c>
      <c r="S442" s="49"/>
      <c r="T442" s="49"/>
      <c r="U442" s="49">
        <v>-2120</v>
      </c>
      <c r="V442" s="49"/>
      <c r="W442" s="49">
        <v>3640</v>
      </c>
      <c r="X442" s="40">
        <f t="shared" si="39"/>
        <v>0</v>
      </c>
    </row>
    <row r="443" spans="2:24" ht="15.75">
      <c r="B443" s="292"/>
      <c r="C443" s="292"/>
      <c r="D443" s="289"/>
      <c r="E443" s="90" t="s">
        <v>454</v>
      </c>
      <c r="F443" s="49"/>
      <c r="G443" s="50"/>
      <c r="H443" s="220"/>
      <c r="I443" s="255">
        <v>3110</v>
      </c>
      <c r="J443" s="49">
        <f>226200-5850</f>
        <v>220350</v>
      </c>
      <c r="K443" s="49"/>
      <c r="L443" s="49"/>
      <c r="M443" s="49"/>
      <c r="N443" s="49"/>
      <c r="O443" s="49"/>
      <c r="P443" s="49"/>
      <c r="Q443" s="49"/>
      <c r="R443" s="49">
        <v>226200</v>
      </c>
      <c r="S443" s="49"/>
      <c r="T443" s="49"/>
      <c r="U443" s="49">
        <v>-5850</v>
      </c>
      <c r="V443" s="49"/>
      <c r="W443" s="49">
        <v>220350</v>
      </c>
      <c r="X443" s="40">
        <f t="shared" si="39"/>
        <v>0</v>
      </c>
    </row>
    <row r="444" spans="2:24" ht="47.25">
      <c r="B444" s="292"/>
      <c r="C444" s="292"/>
      <c r="D444" s="289"/>
      <c r="E444" s="10" t="s">
        <v>455</v>
      </c>
      <c r="F444" s="49"/>
      <c r="G444" s="50"/>
      <c r="H444" s="220"/>
      <c r="I444" s="255">
        <v>3110</v>
      </c>
      <c r="J444" s="9">
        <v>25000</v>
      </c>
      <c r="K444" s="49"/>
      <c r="L444" s="49"/>
      <c r="M444" s="49"/>
      <c r="N444" s="49"/>
      <c r="O444" s="49"/>
      <c r="P444" s="49"/>
      <c r="Q444" s="49"/>
      <c r="R444" s="49">
        <v>25000</v>
      </c>
      <c r="S444" s="49"/>
      <c r="T444" s="49"/>
      <c r="U444" s="49"/>
      <c r="V444" s="49"/>
      <c r="W444" s="49">
        <f>18850-18850+24830</f>
        <v>24830</v>
      </c>
      <c r="X444" s="40">
        <f t="shared" si="39"/>
        <v>170</v>
      </c>
    </row>
    <row r="445" spans="2:24" ht="47.25">
      <c r="B445" s="292"/>
      <c r="C445" s="292"/>
      <c r="D445" s="289"/>
      <c r="E445" s="88" t="s">
        <v>704</v>
      </c>
      <c r="F445" s="49"/>
      <c r="G445" s="50"/>
      <c r="H445" s="220"/>
      <c r="I445" s="255"/>
      <c r="J445" s="9">
        <f>SUM(J446:J454)</f>
        <v>2152917.24</v>
      </c>
      <c r="K445" s="9">
        <f aca="true" t="shared" si="45" ref="K445:W445">SUM(K446:K454)</f>
        <v>0</v>
      </c>
      <c r="L445" s="9">
        <f t="shared" si="45"/>
        <v>0</v>
      </c>
      <c r="M445" s="9">
        <f t="shared" si="45"/>
        <v>0</v>
      </c>
      <c r="N445" s="9">
        <f t="shared" si="45"/>
        <v>0</v>
      </c>
      <c r="O445" s="9">
        <f t="shared" si="45"/>
        <v>905250</v>
      </c>
      <c r="P445" s="9">
        <f t="shared" si="45"/>
        <v>897630</v>
      </c>
      <c r="Q445" s="9">
        <f t="shared" si="45"/>
        <v>0</v>
      </c>
      <c r="R445" s="9">
        <f t="shared" si="45"/>
        <v>393841.42</v>
      </c>
      <c r="S445" s="9">
        <f t="shared" si="45"/>
        <v>0</v>
      </c>
      <c r="T445" s="9">
        <f t="shared" si="45"/>
        <v>0</v>
      </c>
      <c r="U445" s="9">
        <f t="shared" si="45"/>
        <v>-43804.18</v>
      </c>
      <c r="V445" s="9">
        <f t="shared" si="45"/>
        <v>0</v>
      </c>
      <c r="W445" s="9">
        <f t="shared" si="45"/>
        <v>2152917.24</v>
      </c>
      <c r="X445" s="40">
        <f t="shared" si="39"/>
        <v>0</v>
      </c>
    </row>
    <row r="446" spans="2:24" ht="15.75">
      <c r="B446" s="292"/>
      <c r="C446" s="292"/>
      <c r="D446" s="289"/>
      <c r="E446" s="91" t="s">
        <v>65</v>
      </c>
      <c r="F446" s="49"/>
      <c r="G446" s="50"/>
      <c r="H446" s="220"/>
      <c r="I446" s="255">
        <v>3110</v>
      </c>
      <c r="J446" s="49">
        <f>931830-18050</f>
        <v>913780</v>
      </c>
      <c r="K446" s="49"/>
      <c r="L446" s="49"/>
      <c r="M446" s="49"/>
      <c r="N446" s="49"/>
      <c r="O446" s="49"/>
      <c r="P446" s="49">
        <v>913780</v>
      </c>
      <c r="Q446" s="49"/>
      <c r="R446" s="49">
        <f>931830-913780</f>
        <v>18050</v>
      </c>
      <c r="S446" s="49"/>
      <c r="T446" s="49"/>
      <c r="U446" s="49">
        <v>-18050</v>
      </c>
      <c r="V446" s="49"/>
      <c r="W446" s="49">
        <v>913780</v>
      </c>
      <c r="X446" s="40">
        <f t="shared" si="39"/>
        <v>0</v>
      </c>
    </row>
    <row r="447" spans="2:24" ht="47.25">
      <c r="B447" s="292"/>
      <c r="C447" s="292"/>
      <c r="D447" s="289"/>
      <c r="E447" s="91" t="s">
        <v>846</v>
      </c>
      <c r="F447" s="49"/>
      <c r="G447" s="50"/>
      <c r="H447" s="220"/>
      <c r="I447" s="255">
        <v>3110</v>
      </c>
      <c r="J447" s="49">
        <f>87150-12458.58-4641.42</f>
        <v>70050</v>
      </c>
      <c r="K447" s="49"/>
      <c r="L447" s="49"/>
      <c r="M447" s="49"/>
      <c r="N447" s="49"/>
      <c r="O447" s="49">
        <v>70050</v>
      </c>
      <c r="P447" s="49"/>
      <c r="Q447" s="49"/>
      <c r="R447" s="49">
        <f>87150-70050-12458.58</f>
        <v>4641.42</v>
      </c>
      <c r="S447" s="49"/>
      <c r="T447" s="49"/>
      <c r="U447" s="49">
        <v>-4641.42</v>
      </c>
      <c r="V447" s="49"/>
      <c r="W447" s="49">
        <v>70050</v>
      </c>
      <c r="X447" s="40">
        <f t="shared" si="39"/>
        <v>0</v>
      </c>
    </row>
    <row r="448" spans="2:24" ht="15.75">
      <c r="B448" s="292"/>
      <c r="C448" s="292"/>
      <c r="D448" s="289"/>
      <c r="E448" s="91" t="s">
        <v>847</v>
      </c>
      <c r="F448" s="49"/>
      <c r="G448" s="50"/>
      <c r="H448" s="220"/>
      <c r="I448" s="255">
        <v>3110</v>
      </c>
      <c r="J448" s="49">
        <f>119430-2310</f>
        <v>117120</v>
      </c>
      <c r="K448" s="49"/>
      <c r="L448" s="49"/>
      <c r="M448" s="49"/>
      <c r="N448" s="49"/>
      <c r="O448" s="49">
        <v>119430</v>
      </c>
      <c r="P448" s="49">
        <v>-2310</v>
      </c>
      <c r="Q448" s="49"/>
      <c r="R448" s="49">
        <v>2310</v>
      </c>
      <c r="S448" s="49"/>
      <c r="T448" s="49"/>
      <c r="U448" s="49">
        <v>-2310</v>
      </c>
      <c r="V448" s="49"/>
      <c r="W448" s="49">
        <v>117120</v>
      </c>
      <c r="X448" s="40">
        <f t="shared" si="39"/>
        <v>0</v>
      </c>
    </row>
    <row r="449" spans="2:24" ht="15.75">
      <c r="B449" s="292"/>
      <c r="C449" s="292"/>
      <c r="D449" s="289"/>
      <c r="E449" s="91" t="s">
        <v>848</v>
      </c>
      <c r="F449" s="49"/>
      <c r="G449" s="50"/>
      <c r="H449" s="220"/>
      <c r="I449" s="255">
        <v>3110</v>
      </c>
      <c r="J449" s="49">
        <f>277020-5366.26</f>
        <v>271653.74</v>
      </c>
      <c r="K449" s="49"/>
      <c r="L449" s="49"/>
      <c r="M449" s="49"/>
      <c r="N449" s="49"/>
      <c r="O449" s="49">
        <v>277020</v>
      </c>
      <c r="P449" s="49">
        <v>-5360</v>
      </c>
      <c r="Q449" s="49"/>
      <c r="R449" s="49">
        <v>5360</v>
      </c>
      <c r="S449" s="49"/>
      <c r="T449" s="49"/>
      <c r="U449" s="49">
        <v>-5366.26</v>
      </c>
      <c r="V449" s="49"/>
      <c r="W449" s="49">
        <v>271653.74</v>
      </c>
      <c r="X449" s="40">
        <f t="shared" si="39"/>
        <v>0</v>
      </c>
    </row>
    <row r="450" spans="2:24" ht="15.75">
      <c r="B450" s="292"/>
      <c r="C450" s="292"/>
      <c r="D450" s="289"/>
      <c r="E450" s="91" t="s">
        <v>177</v>
      </c>
      <c r="F450" s="49"/>
      <c r="G450" s="50"/>
      <c r="H450" s="220"/>
      <c r="I450" s="255">
        <v>3110</v>
      </c>
      <c r="J450" s="49">
        <f>336120-6506.5</f>
        <v>329613.5</v>
      </c>
      <c r="K450" s="49"/>
      <c r="L450" s="49"/>
      <c r="M450" s="49"/>
      <c r="N450" s="49"/>
      <c r="O450" s="49">
        <v>336120</v>
      </c>
      <c r="P450" s="49">
        <v>-6500</v>
      </c>
      <c r="Q450" s="49"/>
      <c r="R450" s="49">
        <v>6500</v>
      </c>
      <c r="S450" s="49"/>
      <c r="T450" s="49"/>
      <c r="U450" s="49">
        <v>-6506.5</v>
      </c>
      <c r="V450" s="49"/>
      <c r="W450" s="49">
        <v>329613.5</v>
      </c>
      <c r="X450" s="40">
        <f t="shared" si="39"/>
        <v>0</v>
      </c>
    </row>
    <row r="451" spans="2:24" ht="31.5" hidden="1">
      <c r="B451" s="292"/>
      <c r="C451" s="292"/>
      <c r="D451" s="289"/>
      <c r="E451" s="91" t="s">
        <v>178</v>
      </c>
      <c r="F451" s="49"/>
      <c r="G451" s="50"/>
      <c r="H451" s="220"/>
      <c r="I451" s="255">
        <v>3110</v>
      </c>
      <c r="J451" s="49">
        <f>248570-248570</f>
        <v>0</v>
      </c>
      <c r="K451" s="49"/>
      <c r="L451" s="49"/>
      <c r="M451" s="49"/>
      <c r="N451" s="49"/>
      <c r="O451" s="49"/>
      <c r="P451" s="49"/>
      <c r="Q451" s="49"/>
      <c r="R451" s="49">
        <f>248570-248570</f>
        <v>0</v>
      </c>
      <c r="S451" s="49"/>
      <c r="T451" s="49"/>
      <c r="U451" s="49"/>
      <c r="V451" s="49"/>
      <c r="W451" s="49"/>
      <c r="X451" s="40">
        <f t="shared" si="39"/>
        <v>0</v>
      </c>
    </row>
    <row r="452" spans="2:24" ht="15.75">
      <c r="B452" s="292"/>
      <c r="C452" s="292"/>
      <c r="D452" s="289"/>
      <c r="E452" s="92" t="s">
        <v>975</v>
      </c>
      <c r="F452" s="49"/>
      <c r="G452" s="50"/>
      <c r="H452" s="220"/>
      <c r="I452" s="255">
        <v>3110</v>
      </c>
      <c r="J452" s="49">
        <f>235000-4950</f>
        <v>230050</v>
      </c>
      <c r="K452" s="49"/>
      <c r="L452" s="49"/>
      <c r="M452" s="49"/>
      <c r="N452" s="49"/>
      <c r="O452" s="49"/>
      <c r="P452" s="49"/>
      <c r="Q452" s="49"/>
      <c r="R452" s="49">
        <v>235000</v>
      </c>
      <c r="S452" s="49"/>
      <c r="T452" s="49"/>
      <c r="U452" s="49">
        <v>-4950</v>
      </c>
      <c r="V452" s="49"/>
      <c r="W452" s="49">
        <f>230050-230050+230050</f>
        <v>230050</v>
      </c>
      <c r="X452" s="40">
        <f t="shared" si="39"/>
        <v>0</v>
      </c>
    </row>
    <row r="453" spans="2:24" ht="15.75">
      <c r="B453" s="292"/>
      <c r="C453" s="292"/>
      <c r="D453" s="289"/>
      <c r="E453" s="92" t="s">
        <v>179</v>
      </c>
      <c r="F453" s="49"/>
      <c r="G453" s="50"/>
      <c r="H453" s="220"/>
      <c r="I453" s="255">
        <v>3110</v>
      </c>
      <c r="J453" s="49">
        <f>102630-1980</f>
        <v>100650</v>
      </c>
      <c r="K453" s="49"/>
      <c r="L453" s="49"/>
      <c r="M453" s="49"/>
      <c r="N453" s="49"/>
      <c r="O453" s="49">
        <v>102630</v>
      </c>
      <c r="P453" s="49">
        <v>-1980</v>
      </c>
      <c r="Q453" s="49"/>
      <c r="R453" s="49">
        <v>1980</v>
      </c>
      <c r="S453" s="49"/>
      <c r="T453" s="49"/>
      <c r="U453" s="49">
        <v>-1980</v>
      </c>
      <c r="V453" s="49"/>
      <c r="W453" s="49">
        <v>100650</v>
      </c>
      <c r="X453" s="40">
        <f t="shared" si="39"/>
        <v>0</v>
      </c>
    </row>
    <row r="454" spans="2:24" ht="15.75">
      <c r="B454" s="292"/>
      <c r="C454" s="292"/>
      <c r="D454" s="289"/>
      <c r="E454" s="92" t="s">
        <v>180</v>
      </c>
      <c r="F454" s="49"/>
      <c r="G454" s="50"/>
      <c r="H454" s="220"/>
      <c r="I454" s="255">
        <v>3110</v>
      </c>
      <c r="J454" s="49">
        <v>120000</v>
      </c>
      <c r="K454" s="49"/>
      <c r="L454" s="49"/>
      <c r="M454" s="49"/>
      <c r="N454" s="49"/>
      <c r="O454" s="49"/>
      <c r="P454" s="49"/>
      <c r="Q454" s="49"/>
      <c r="R454" s="49">
        <v>120000</v>
      </c>
      <c r="S454" s="49"/>
      <c r="T454" s="49"/>
      <c r="U454" s="49"/>
      <c r="V454" s="49"/>
      <c r="W454" s="49">
        <v>120000</v>
      </c>
      <c r="X454" s="40">
        <f t="shared" si="39"/>
        <v>0</v>
      </c>
    </row>
    <row r="455" spans="2:24" ht="47.25">
      <c r="B455" s="292"/>
      <c r="C455" s="292"/>
      <c r="D455" s="289"/>
      <c r="E455" s="93" t="s">
        <v>727</v>
      </c>
      <c r="F455" s="49"/>
      <c r="G455" s="50"/>
      <c r="H455" s="220"/>
      <c r="I455" s="255">
        <v>3110</v>
      </c>
      <c r="J455" s="49">
        <f>1100000-110250</f>
        <v>989750</v>
      </c>
      <c r="K455" s="49"/>
      <c r="L455" s="49"/>
      <c r="M455" s="49"/>
      <c r="N455" s="49"/>
      <c r="O455" s="49"/>
      <c r="P455" s="49"/>
      <c r="Q455" s="49"/>
      <c r="R455" s="49">
        <v>1100000</v>
      </c>
      <c r="S455" s="49"/>
      <c r="T455" s="49"/>
      <c r="U455" s="49">
        <v>-110250</v>
      </c>
      <c r="V455" s="49"/>
      <c r="W455" s="49">
        <f>989750</f>
        <v>989750</v>
      </c>
      <c r="X455" s="40">
        <f t="shared" si="39"/>
        <v>0</v>
      </c>
    </row>
    <row r="456" spans="2:24" ht="63">
      <c r="B456" s="292"/>
      <c r="C456" s="292"/>
      <c r="D456" s="289"/>
      <c r="E456" s="93" t="s">
        <v>865</v>
      </c>
      <c r="F456" s="49"/>
      <c r="G456" s="50"/>
      <c r="H456" s="220"/>
      <c r="I456" s="255">
        <v>3110</v>
      </c>
      <c r="J456" s="49">
        <v>30000</v>
      </c>
      <c r="K456" s="49"/>
      <c r="L456" s="49"/>
      <c r="M456" s="49"/>
      <c r="N456" s="49"/>
      <c r="O456" s="49"/>
      <c r="P456" s="49">
        <v>30000</v>
      </c>
      <c r="Q456" s="49"/>
      <c r="R456" s="49">
        <f>30000-30000</f>
        <v>0</v>
      </c>
      <c r="S456" s="49"/>
      <c r="T456" s="49"/>
      <c r="U456" s="49"/>
      <c r="V456" s="49"/>
      <c r="W456" s="49">
        <v>30000</v>
      </c>
      <c r="X456" s="40">
        <f t="shared" si="39"/>
        <v>0</v>
      </c>
    </row>
    <row r="457" spans="2:24" ht="47.25">
      <c r="B457" s="292"/>
      <c r="C457" s="292"/>
      <c r="D457" s="289"/>
      <c r="E457" s="93" t="s">
        <v>422</v>
      </c>
      <c r="F457" s="49"/>
      <c r="G457" s="50"/>
      <c r="H457" s="220"/>
      <c r="I457" s="255">
        <v>3110</v>
      </c>
      <c r="J457" s="49">
        <f>20000-1150</f>
        <v>18850</v>
      </c>
      <c r="K457" s="49"/>
      <c r="L457" s="49"/>
      <c r="M457" s="49"/>
      <c r="N457" s="49"/>
      <c r="O457" s="49"/>
      <c r="P457" s="49"/>
      <c r="Q457" s="49"/>
      <c r="R457" s="49">
        <v>20000</v>
      </c>
      <c r="S457" s="49"/>
      <c r="T457" s="49"/>
      <c r="U457" s="49">
        <v>-1150</v>
      </c>
      <c r="V457" s="49"/>
      <c r="W457" s="49">
        <f>18850</f>
        <v>18850</v>
      </c>
      <c r="X457" s="40">
        <f t="shared" si="39"/>
        <v>0</v>
      </c>
    </row>
    <row r="458" spans="2:24" ht="31.5">
      <c r="B458" s="292"/>
      <c r="C458" s="292"/>
      <c r="D458" s="289"/>
      <c r="E458" s="93" t="s">
        <v>423</v>
      </c>
      <c r="F458" s="49"/>
      <c r="G458" s="50"/>
      <c r="H458" s="220"/>
      <c r="I458" s="255">
        <v>3110</v>
      </c>
      <c r="J458" s="49">
        <f>135720-4220</f>
        <v>131500</v>
      </c>
      <c r="K458" s="49"/>
      <c r="L458" s="49"/>
      <c r="M458" s="49"/>
      <c r="N458" s="49"/>
      <c r="O458" s="49"/>
      <c r="P458" s="49">
        <v>56500</v>
      </c>
      <c r="Q458" s="49"/>
      <c r="R458" s="49">
        <f>135720-56500</f>
        <v>79220</v>
      </c>
      <c r="S458" s="49"/>
      <c r="T458" s="49"/>
      <c r="U458" s="49">
        <v>-4220</v>
      </c>
      <c r="V458" s="49"/>
      <c r="W458" s="49">
        <f>56500+75000</f>
        <v>131500</v>
      </c>
      <c r="X458" s="40">
        <f t="shared" si="39"/>
        <v>0</v>
      </c>
    </row>
    <row r="459" spans="2:24" ht="110.25">
      <c r="B459" s="292"/>
      <c r="C459" s="292"/>
      <c r="D459" s="289"/>
      <c r="E459" s="88" t="s">
        <v>900</v>
      </c>
      <c r="F459" s="49">
        <v>67860</v>
      </c>
      <c r="G459" s="18">
        <f aca="true" t="shared" si="46" ref="G459:G465">100%-((F459-H459)/F459)</f>
        <v>1</v>
      </c>
      <c r="H459" s="220">
        <v>67860</v>
      </c>
      <c r="I459" s="255">
        <v>3132</v>
      </c>
      <c r="J459" s="49">
        <v>67860</v>
      </c>
      <c r="K459" s="49"/>
      <c r="L459" s="49"/>
      <c r="M459" s="49"/>
      <c r="N459" s="49"/>
      <c r="O459" s="49"/>
      <c r="P459" s="49">
        <f>67860-67860</f>
        <v>0</v>
      </c>
      <c r="Q459" s="49"/>
      <c r="R459" s="49">
        <v>67860</v>
      </c>
      <c r="S459" s="49"/>
      <c r="T459" s="49"/>
      <c r="U459" s="49"/>
      <c r="V459" s="49"/>
      <c r="W459" s="49">
        <f>12022+24035.8+31336.8</f>
        <v>67394.6</v>
      </c>
      <c r="X459" s="40">
        <f t="shared" si="39"/>
        <v>465.3999999999942</v>
      </c>
    </row>
    <row r="460" spans="2:24" ht="47.25">
      <c r="B460" s="292"/>
      <c r="C460" s="292"/>
      <c r="D460" s="289"/>
      <c r="E460" s="88" t="s">
        <v>901</v>
      </c>
      <c r="F460" s="49">
        <v>338300</v>
      </c>
      <c r="G460" s="18">
        <f t="shared" si="46"/>
        <v>1</v>
      </c>
      <c r="H460" s="220">
        <v>338300</v>
      </c>
      <c r="I460" s="255">
        <v>3132</v>
      </c>
      <c r="J460" s="49">
        <f>331000-4020.4</f>
        <v>326979.6</v>
      </c>
      <c r="K460" s="49"/>
      <c r="L460" s="49"/>
      <c r="M460" s="49"/>
      <c r="N460" s="49"/>
      <c r="O460" s="49">
        <v>132400</v>
      </c>
      <c r="P460" s="49">
        <f>198600-300000-31000</f>
        <v>-132400</v>
      </c>
      <c r="Q460" s="49"/>
      <c r="R460" s="49">
        <f>300000+31000</f>
        <v>331000</v>
      </c>
      <c r="S460" s="49"/>
      <c r="T460" s="49"/>
      <c r="U460" s="49"/>
      <c r="V460" s="49">
        <v>-4020.4</v>
      </c>
      <c r="W460" s="49">
        <f>3178+169174.1+140540.7+14086.8</f>
        <v>326979.60000000003</v>
      </c>
      <c r="X460" s="40">
        <f t="shared" si="39"/>
        <v>0</v>
      </c>
    </row>
    <row r="461" spans="2:24" ht="63">
      <c r="B461" s="292"/>
      <c r="C461" s="292"/>
      <c r="D461" s="289"/>
      <c r="E461" s="88" t="s">
        <v>226</v>
      </c>
      <c r="F461" s="49">
        <v>2175684</v>
      </c>
      <c r="G461" s="18">
        <f t="shared" si="46"/>
        <v>1</v>
      </c>
      <c r="H461" s="220">
        <v>2175684</v>
      </c>
      <c r="I461" s="255">
        <v>3132</v>
      </c>
      <c r="J461" s="49">
        <f>1000000-310000</f>
        <v>690000</v>
      </c>
      <c r="K461" s="49"/>
      <c r="L461" s="49"/>
      <c r="M461" s="49"/>
      <c r="N461" s="49"/>
      <c r="O461" s="49">
        <f>300000-70050-13190</f>
        <v>216760</v>
      </c>
      <c r="P461" s="49">
        <f>100000-316760</f>
        <v>-216760</v>
      </c>
      <c r="Q461" s="49">
        <v>100000</v>
      </c>
      <c r="R461" s="49">
        <f>200000+70050+316760</f>
        <v>586810</v>
      </c>
      <c r="S461" s="49">
        <f>100000+13190</f>
        <v>113190</v>
      </c>
      <c r="T461" s="49">
        <v>200000</v>
      </c>
      <c r="U461" s="49"/>
      <c r="V461" s="49">
        <v>-310000</v>
      </c>
      <c r="W461" s="49">
        <f>284130+252884.36+4814.68+5081.46</f>
        <v>546910.5</v>
      </c>
      <c r="X461" s="40">
        <f t="shared" si="39"/>
        <v>143089.5</v>
      </c>
    </row>
    <row r="462" spans="2:24" ht="63" hidden="1">
      <c r="B462" s="292"/>
      <c r="C462" s="292"/>
      <c r="D462" s="289"/>
      <c r="E462" s="88" t="s">
        <v>227</v>
      </c>
      <c r="F462" s="49">
        <v>955000</v>
      </c>
      <c r="G462" s="18">
        <f t="shared" si="46"/>
        <v>1</v>
      </c>
      <c r="H462" s="220">
        <v>955000</v>
      </c>
      <c r="I462" s="255">
        <v>3132</v>
      </c>
      <c r="J462" s="49">
        <f>955000-955000</f>
        <v>0</v>
      </c>
      <c r="K462" s="49"/>
      <c r="L462" s="49"/>
      <c r="M462" s="49"/>
      <c r="N462" s="49"/>
      <c r="O462" s="49">
        <v>13190</v>
      </c>
      <c r="P462" s="49">
        <f>70000-83190</f>
        <v>-13190</v>
      </c>
      <c r="Q462" s="49">
        <f>260000-260000</f>
        <v>0</v>
      </c>
      <c r="R462" s="49">
        <f>500000-500000</f>
        <v>0</v>
      </c>
      <c r="S462" s="49">
        <f>125000-13190-111810</f>
        <v>0</v>
      </c>
      <c r="T462" s="49"/>
      <c r="U462" s="49"/>
      <c r="V462" s="49"/>
      <c r="W462" s="49">
        <f>13187-13187</f>
        <v>0</v>
      </c>
      <c r="X462" s="40">
        <f t="shared" si="39"/>
        <v>0</v>
      </c>
    </row>
    <row r="463" spans="2:24" ht="78.75">
      <c r="B463" s="292"/>
      <c r="C463" s="292"/>
      <c r="D463" s="289"/>
      <c r="E463" s="88" t="s">
        <v>923</v>
      </c>
      <c r="F463" s="49">
        <v>67860</v>
      </c>
      <c r="G463" s="18">
        <f t="shared" si="46"/>
        <v>1</v>
      </c>
      <c r="H463" s="220">
        <v>67860</v>
      </c>
      <c r="I463" s="255">
        <v>3132</v>
      </c>
      <c r="J463" s="49">
        <f>67860-50509.22</f>
        <v>17350.78</v>
      </c>
      <c r="K463" s="49"/>
      <c r="L463" s="49"/>
      <c r="M463" s="49"/>
      <c r="N463" s="49"/>
      <c r="O463" s="49">
        <v>17351</v>
      </c>
      <c r="P463" s="49">
        <v>-6370</v>
      </c>
      <c r="Q463" s="49">
        <v>50509</v>
      </c>
      <c r="R463" s="49">
        <v>6370</v>
      </c>
      <c r="S463" s="49"/>
      <c r="T463" s="49"/>
      <c r="U463" s="49">
        <v>-50509.22</v>
      </c>
      <c r="V463" s="49"/>
      <c r="W463" s="49">
        <f>5086.43+396+11868.35</f>
        <v>17350.78</v>
      </c>
      <c r="X463" s="40">
        <f t="shared" si="39"/>
        <v>0</v>
      </c>
    </row>
    <row r="464" spans="2:24" ht="63">
      <c r="B464" s="292"/>
      <c r="C464" s="292"/>
      <c r="D464" s="289"/>
      <c r="E464" s="88" t="s">
        <v>336</v>
      </c>
      <c r="F464" s="49">
        <v>33930</v>
      </c>
      <c r="G464" s="18">
        <f t="shared" si="46"/>
        <v>1</v>
      </c>
      <c r="H464" s="220">
        <v>33930</v>
      </c>
      <c r="I464" s="255">
        <v>3132</v>
      </c>
      <c r="J464" s="49">
        <v>33930</v>
      </c>
      <c r="K464" s="49"/>
      <c r="L464" s="49"/>
      <c r="M464" s="49"/>
      <c r="N464" s="49"/>
      <c r="O464" s="49"/>
      <c r="P464" s="49"/>
      <c r="Q464" s="49"/>
      <c r="R464" s="49"/>
      <c r="S464" s="49">
        <v>33930</v>
      </c>
      <c r="T464" s="49"/>
      <c r="U464" s="49"/>
      <c r="V464" s="49"/>
      <c r="W464" s="49">
        <f>10174.8+23741.2</f>
        <v>33916</v>
      </c>
      <c r="X464" s="40">
        <f t="shared" si="39"/>
        <v>14</v>
      </c>
    </row>
    <row r="465" spans="2:24" ht="78.75">
      <c r="B465" s="292"/>
      <c r="C465" s="292"/>
      <c r="D465" s="289"/>
      <c r="E465" s="88" t="s">
        <v>734</v>
      </c>
      <c r="F465" s="49">
        <v>800</v>
      </c>
      <c r="G465" s="18">
        <f t="shared" si="46"/>
        <v>1</v>
      </c>
      <c r="H465" s="220">
        <v>800</v>
      </c>
      <c r="I465" s="255">
        <v>3132</v>
      </c>
      <c r="J465" s="49">
        <f>800000-17800</f>
        <v>782200</v>
      </c>
      <c r="K465" s="49"/>
      <c r="L465" s="49"/>
      <c r="M465" s="49"/>
      <c r="N465" s="49"/>
      <c r="O465" s="49"/>
      <c r="P465" s="49">
        <f>300000-270000</f>
        <v>30000</v>
      </c>
      <c r="Q465" s="49">
        <v>300000</v>
      </c>
      <c r="R465" s="49">
        <f>200000+270000</f>
        <v>470000</v>
      </c>
      <c r="S465" s="49"/>
      <c r="T465" s="49"/>
      <c r="U465" s="49"/>
      <c r="V465" s="49">
        <v>-17800</v>
      </c>
      <c r="W465" s="49">
        <f>25783+1122+221089.8+221089.8+291368.15+12437</f>
        <v>772889.75</v>
      </c>
      <c r="X465" s="40">
        <f t="shared" si="39"/>
        <v>9310.25</v>
      </c>
    </row>
    <row r="466" spans="2:24" ht="68.25" customHeight="1" hidden="1">
      <c r="B466" s="292"/>
      <c r="C466" s="292"/>
      <c r="D466" s="289"/>
      <c r="E466" s="282" t="s">
        <v>814</v>
      </c>
      <c r="F466" s="49"/>
      <c r="G466" s="18"/>
      <c r="H466" s="220"/>
      <c r="I466" s="255">
        <v>3132</v>
      </c>
      <c r="J466" s="49">
        <f>12458.58-12458.58</f>
        <v>0</v>
      </c>
      <c r="K466" s="49"/>
      <c r="L466" s="49"/>
      <c r="M466" s="49"/>
      <c r="N466" s="49"/>
      <c r="O466" s="49"/>
      <c r="P466" s="49"/>
      <c r="Q466" s="49"/>
      <c r="R466" s="49">
        <v>12458.58</v>
      </c>
      <c r="S466" s="49"/>
      <c r="T466" s="49"/>
      <c r="U466" s="49">
        <v>-12458.58</v>
      </c>
      <c r="V466" s="49"/>
      <c r="W466" s="49"/>
      <c r="X466" s="40">
        <f t="shared" si="39"/>
        <v>0</v>
      </c>
    </row>
    <row r="467" spans="2:24" ht="68.25" customHeight="1" hidden="1">
      <c r="B467" s="292"/>
      <c r="C467" s="292"/>
      <c r="D467" s="289"/>
      <c r="E467" s="282" t="s">
        <v>58</v>
      </c>
      <c r="F467" s="49"/>
      <c r="G467" s="18"/>
      <c r="H467" s="220"/>
      <c r="I467" s="255">
        <v>3132</v>
      </c>
      <c r="J467" s="49">
        <f>500000-500000</f>
        <v>0</v>
      </c>
      <c r="K467" s="49"/>
      <c r="L467" s="49"/>
      <c r="M467" s="49"/>
      <c r="N467" s="49"/>
      <c r="O467" s="49"/>
      <c r="P467" s="49"/>
      <c r="Q467" s="49"/>
      <c r="R467" s="49"/>
      <c r="S467" s="49">
        <v>500000</v>
      </c>
      <c r="T467" s="49"/>
      <c r="U467" s="49">
        <v>-500000</v>
      </c>
      <c r="V467" s="49"/>
      <c r="W467" s="49"/>
      <c r="X467" s="40">
        <f t="shared" si="39"/>
        <v>0</v>
      </c>
    </row>
    <row r="468" spans="2:24" ht="94.5">
      <c r="B468" s="292"/>
      <c r="C468" s="292"/>
      <c r="D468" s="289"/>
      <c r="E468" s="88" t="s">
        <v>145</v>
      </c>
      <c r="F468" s="49"/>
      <c r="G468" s="18"/>
      <c r="H468" s="220"/>
      <c r="I468" s="255">
        <v>3132</v>
      </c>
      <c r="J468" s="49">
        <v>512458.58</v>
      </c>
      <c r="K468" s="49"/>
      <c r="L468" s="49"/>
      <c r="M468" s="49"/>
      <c r="N468" s="49"/>
      <c r="O468" s="49"/>
      <c r="P468" s="49"/>
      <c r="Q468" s="49"/>
      <c r="R468" s="49"/>
      <c r="S468" s="49"/>
      <c r="T468" s="49"/>
      <c r="U468" s="49">
        <v>512458.58</v>
      </c>
      <c r="V468" s="49"/>
      <c r="W468" s="49">
        <f>12344+145521.9-145521.9+145521.9+288807.1</f>
        <v>446673</v>
      </c>
      <c r="X468" s="40">
        <f t="shared" si="39"/>
        <v>65785.58000000002</v>
      </c>
    </row>
    <row r="469" spans="2:24" ht="68.25" customHeight="1">
      <c r="B469" s="292"/>
      <c r="C469" s="292"/>
      <c r="D469" s="289"/>
      <c r="E469" s="88" t="s">
        <v>722</v>
      </c>
      <c r="F469" s="49"/>
      <c r="G469" s="18"/>
      <c r="H469" s="220"/>
      <c r="I469" s="255">
        <v>3132</v>
      </c>
      <c r="J469" s="49">
        <v>161800</v>
      </c>
      <c r="K469" s="49"/>
      <c r="L469" s="49"/>
      <c r="M469" s="49"/>
      <c r="N469" s="49"/>
      <c r="O469" s="49"/>
      <c r="P469" s="49"/>
      <c r="Q469" s="49"/>
      <c r="R469" s="49"/>
      <c r="S469" s="49">
        <v>161800</v>
      </c>
      <c r="T469" s="49"/>
      <c r="U469" s="49"/>
      <c r="V469" s="49"/>
      <c r="W469" s="49">
        <f>124541</f>
        <v>124541</v>
      </c>
      <c r="X469" s="40">
        <f t="shared" si="39"/>
        <v>37259</v>
      </c>
    </row>
    <row r="470" spans="2:24" ht="31.5">
      <c r="B470" s="292"/>
      <c r="C470" s="292"/>
      <c r="D470" s="289"/>
      <c r="E470" s="88" t="s">
        <v>760</v>
      </c>
      <c r="F470" s="49"/>
      <c r="G470" s="18"/>
      <c r="H470" s="220"/>
      <c r="I470" s="255">
        <v>3110</v>
      </c>
      <c r="J470" s="49">
        <v>110000</v>
      </c>
      <c r="K470" s="49"/>
      <c r="L470" s="49"/>
      <c r="M470" s="49"/>
      <c r="N470" s="49"/>
      <c r="O470" s="49"/>
      <c r="P470" s="49"/>
      <c r="Q470" s="49"/>
      <c r="R470" s="49"/>
      <c r="S470" s="49"/>
      <c r="T470" s="49"/>
      <c r="U470" s="49">
        <v>110000</v>
      </c>
      <c r="V470" s="49"/>
      <c r="W470" s="49">
        <v>110000</v>
      </c>
      <c r="X470" s="40">
        <f aca="true" t="shared" si="47" ref="X470:X534">J470-W470</f>
        <v>0</v>
      </c>
    </row>
    <row r="471" spans="2:24" ht="68.25" customHeight="1">
      <c r="B471" s="292"/>
      <c r="C471" s="292"/>
      <c r="D471" s="289"/>
      <c r="E471" s="88" t="s">
        <v>723</v>
      </c>
      <c r="F471" s="49"/>
      <c r="G471" s="18"/>
      <c r="H471" s="220"/>
      <c r="I471" s="255">
        <v>3132</v>
      </c>
      <c r="J471" s="49">
        <f>746000-98000</f>
        <v>648000</v>
      </c>
      <c r="K471" s="49"/>
      <c r="L471" s="49"/>
      <c r="M471" s="49"/>
      <c r="N471" s="49"/>
      <c r="O471" s="49"/>
      <c r="P471" s="49"/>
      <c r="Q471" s="49"/>
      <c r="R471" s="49"/>
      <c r="S471" s="49">
        <v>746000</v>
      </c>
      <c r="T471" s="49"/>
      <c r="U471" s="49"/>
      <c r="V471" s="49">
        <v>-98000</v>
      </c>
      <c r="W471" s="49">
        <f>218263.68+138383.7+13575.5+10543.6+261338.4+4637+1200</f>
        <v>647941.88</v>
      </c>
      <c r="X471" s="40">
        <f t="shared" si="47"/>
        <v>58.11999999999534</v>
      </c>
    </row>
    <row r="472" spans="2:24" ht="31.5">
      <c r="B472" s="293"/>
      <c r="C472" s="293"/>
      <c r="D472" s="290"/>
      <c r="E472" s="88" t="s">
        <v>333</v>
      </c>
      <c r="F472" s="49"/>
      <c r="G472" s="18"/>
      <c r="H472" s="220"/>
      <c r="I472" s="255">
        <v>3110</v>
      </c>
      <c r="J472" s="49">
        <v>650000</v>
      </c>
      <c r="K472" s="49"/>
      <c r="L472" s="49"/>
      <c r="M472" s="49"/>
      <c r="N472" s="49"/>
      <c r="O472" s="49"/>
      <c r="P472" s="49"/>
      <c r="Q472" s="49"/>
      <c r="R472" s="49">
        <v>650000</v>
      </c>
      <c r="S472" s="49"/>
      <c r="T472" s="49"/>
      <c r="U472" s="49"/>
      <c r="V472" s="49"/>
      <c r="W472" s="49">
        <v>650000</v>
      </c>
      <c r="X472" s="40">
        <f t="shared" si="47"/>
        <v>0</v>
      </c>
    </row>
    <row r="473" spans="2:24" ht="15.75">
      <c r="B473" s="291" t="s">
        <v>490</v>
      </c>
      <c r="C473" s="291" t="s">
        <v>557</v>
      </c>
      <c r="D473" s="288" t="s">
        <v>556</v>
      </c>
      <c r="E473" s="94"/>
      <c r="F473" s="76"/>
      <c r="G473" s="99"/>
      <c r="H473" s="224"/>
      <c r="I473" s="255"/>
      <c r="J473" s="211">
        <f>J474+J475+J476+J477+J478+J479+J480+J481+J483+J482</f>
        <v>3394437.41</v>
      </c>
      <c r="K473" s="211">
        <f aca="true" t="shared" si="48" ref="K473:W473">K474+K475+K476+K477+K478+K479+K480+K481+K483+K482</f>
        <v>0</v>
      </c>
      <c r="L473" s="211">
        <f t="shared" si="48"/>
        <v>223334.82</v>
      </c>
      <c r="M473" s="211">
        <f t="shared" si="48"/>
        <v>0</v>
      </c>
      <c r="N473" s="211">
        <f t="shared" si="48"/>
        <v>0</v>
      </c>
      <c r="O473" s="211">
        <f t="shared" si="48"/>
        <v>153500</v>
      </c>
      <c r="P473" s="211">
        <f t="shared" si="48"/>
        <v>538446</v>
      </c>
      <c r="Q473" s="211">
        <f t="shared" si="48"/>
        <v>345000</v>
      </c>
      <c r="R473" s="211">
        <f t="shared" si="48"/>
        <v>1647278.69</v>
      </c>
      <c r="S473" s="211">
        <f t="shared" si="48"/>
        <v>380958</v>
      </c>
      <c r="T473" s="211">
        <f t="shared" si="48"/>
        <v>0</v>
      </c>
      <c r="U473" s="211">
        <f t="shared" si="48"/>
        <v>73649.7</v>
      </c>
      <c r="V473" s="211">
        <f t="shared" si="48"/>
        <v>32270.2</v>
      </c>
      <c r="W473" s="211">
        <f t="shared" si="48"/>
        <v>3369931.12</v>
      </c>
      <c r="X473" s="184">
        <f t="shared" si="47"/>
        <v>24506.290000000037</v>
      </c>
    </row>
    <row r="474" spans="2:24" ht="94.5">
      <c r="B474" s="292"/>
      <c r="C474" s="292"/>
      <c r="D474" s="289"/>
      <c r="E474" s="94" t="s">
        <v>700</v>
      </c>
      <c r="F474" s="76">
        <v>223334.82</v>
      </c>
      <c r="G474" s="18">
        <f aca="true" t="shared" si="49" ref="G474:G481">100%-((F474-H474)/F474)</f>
        <v>1</v>
      </c>
      <c r="H474" s="224">
        <v>223334.82</v>
      </c>
      <c r="I474" s="255">
        <v>3132</v>
      </c>
      <c r="J474" s="76">
        <f>223334.82-4170</f>
        <v>219164.82</v>
      </c>
      <c r="K474" s="49"/>
      <c r="L474" s="147">
        <v>223334.82</v>
      </c>
      <c r="M474" s="49"/>
      <c r="N474" s="49"/>
      <c r="O474" s="49"/>
      <c r="P474" s="49"/>
      <c r="Q474" s="49"/>
      <c r="R474" s="49">
        <v>-4170</v>
      </c>
      <c r="S474" s="49"/>
      <c r="T474" s="49"/>
      <c r="U474" s="49"/>
      <c r="V474" s="49"/>
      <c r="W474" s="147">
        <f>223334.82-4170</f>
        <v>219164.82</v>
      </c>
      <c r="X474" s="40">
        <f t="shared" si="47"/>
        <v>0</v>
      </c>
    </row>
    <row r="475" spans="2:24" ht="78.75">
      <c r="B475" s="292"/>
      <c r="C475" s="292"/>
      <c r="D475" s="289"/>
      <c r="E475" s="95" t="s">
        <v>932</v>
      </c>
      <c r="F475" s="76">
        <v>101790</v>
      </c>
      <c r="G475" s="18">
        <f t="shared" si="49"/>
        <v>1</v>
      </c>
      <c r="H475" s="224">
        <v>101790</v>
      </c>
      <c r="I475" s="255">
        <v>3132</v>
      </c>
      <c r="J475" s="49">
        <f>101790-1831-6350.3</f>
        <v>93608.7</v>
      </c>
      <c r="K475" s="49"/>
      <c r="L475" s="49"/>
      <c r="M475" s="49"/>
      <c r="N475" s="49"/>
      <c r="O475" s="49">
        <v>31400</v>
      </c>
      <c r="P475" s="49">
        <f>70390-1831</f>
        <v>68559</v>
      </c>
      <c r="Q475" s="49"/>
      <c r="R475" s="49"/>
      <c r="S475" s="49"/>
      <c r="T475" s="49"/>
      <c r="U475" s="49">
        <v>-6350.3</v>
      </c>
      <c r="V475" s="49"/>
      <c r="W475" s="49">
        <f>972+29414.4+63327.3-105</f>
        <v>93608.70000000001</v>
      </c>
      <c r="X475" s="40">
        <f t="shared" si="47"/>
        <v>0</v>
      </c>
    </row>
    <row r="476" spans="2:24" ht="94.5" hidden="1">
      <c r="B476" s="292"/>
      <c r="C476" s="292"/>
      <c r="D476" s="289"/>
      <c r="E476" s="95" t="s">
        <v>864</v>
      </c>
      <c r="F476" s="76">
        <v>160000</v>
      </c>
      <c r="G476" s="18">
        <f t="shared" si="49"/>
        <v>1</v>
      </c>
      <c r="H476" s="224">
        <v>160000</v>
      </c>
      <c r="I476" s="255">
        <v>3132</v>
      </c>
      <c r="J476" s="49">
        <f>160000+23162-183162</f>
        <v>0</v>
      </c>
      <c r="K476" s="49"/>
      <c r="L476" s="49"/>
      <c r="M476" s="49"/>
      <c r="N476" s="49"/>
      <c r="O476" s="49">
        <v>12800</v>
      </c>
      <c r="P476" s="49">
        <f>44200+23162</f>
        <v>67362</v>
      </c>
      <c r="Q476" s="49">
        <v>103000</v>
      </c>
      <c r="R476" s="49"/>
      <c r="S476" s="49">
        <v>-183162</v>
      </c>
      <c r="T476" s="49"/>
      <c r="U476" s="49"/>
      <c r="V476" s="49"/>
      <c r="W476" s="49"/>
      <c r="X476" s="40">
        <f t="shared" si="47"/>
        <v>0</v>
      </c>
    </row>
    <row r="477" spans="2:24" ht="94.5" hidden="1">
      <c r="B477" s="292"/>
      <c r="C477" s="292"/>
      <c r="D477" s="289"/>
      <c r="E477" s="95" t="s">
        <v>258</v>
      </c>
      <c r="F477" s="76">
        <v>180000</v>
      </c>
      <c r="G477" s="18">
        <f t="shared" si="49"/>
        <v>1</v>
      </c>
      <c r="H477" s="224">
        <v>180000</v>
      </c>
      <c r="I477" s="255">
        <v>3132</v>
      </c>
      <c r="J477" s="49">
        <f>180000-14983-165017</f>
        <v>0</v>
      </c>
      <c r="K477" s="49"/>
      <c r="L477" s="49"/>
      <c r="M477" s="49"/>
      <c r="N477" s="49"/>
      <c r="O477" s="49">
        <v>14400</v>
      </c>
      <c r="P477" s="49">
        <v>49700</v>
      </c>
      <c r="Q477" s="49"/>
      <c r="R477" s="49">
        <f>115900-14983</f>
        <v>100917</v>
      </c>
      <c r="S477" s="49">
        <v>-165017</v>
      </c>
      <c r="T477" s="49"/>
      <c r="U477" s="49"/>
      <c r="V477" s="49"/>
      <c r="W477" s="49"/>
      <c r="X477" s="40">
        <f t="shared" si="47"/>
        <v>0</v>
      </c>
    </row>
    <row r="478" spans="2:24" ht="94.5" hidden="1">
      <c r="B478" s="292"/>
      <c r="C478" s="292"/>
      <c r="D478" s="289"/>
      <c r="E478" s="95" t="s">
        <v>275</v>
      </c>
      <c r="F478" s="76">
        <v>180000</v>
      </c>
      <c r="G478" s="18">
        <f t="shared" si="49"/>
        <v>1</v>
      </c>
      <c r="H478" s="224">
        <v>180000</v>
      </c>
      <c r="I478" s="255">
        <v>3132</v>
      </c>
      <c r="J478" s="49">
        <f>180000-5636.31-174363.69</f>
        <v>0</v>
      </c>
      <c r="K478" s="49"/>
      <c r="L478" s="49"/>
      <c r="M478" s="49"/>
      <c r="N478" s="49"/>
      <c r="O478" s="49">
        <v>14400</v>
      </c>
      <c r="P478" s="49">
        <v>49700</v>
      </c>
      <c r="Q478" s="49"/>
      <c r="R478" s="49">
        <f>115900-5636.31</f>
        <v>110263.69</v>
      </c>
      <c r="S478" s="49">
        <v>-174363.69</v>
      </c>
      <c r="T478" s="49"/>
      <c r="U478" s="49"/>
      <c r="V478" s="49"/>
      <c r="W478" s="49"/>
      <c r="X478" s="40">
        <f t="shared" si="47"/>
        <v>0</v>
      </c>
    </row>
    <row r="479" spans="2:24" ht="78.75" hidden="1">
      <c r="B479" s="292"/>
      <c r="C479" s="292"/>
      <c r="D479" s="289"/>
      <c r="E479" s="95" t="s">
        <v>160</v>
      </c>
      <c r="F479" s="76">
        <v>375000</v>
      </c>
      <c r="G479" s="18">
        <f t="shared" si="49"/>
        <v>1</v>
      </c>
      <c r="H479" s="224">
        <v>375000</v>
      </c>
      <c r="I479" s="255">
        <v>3132</v>
      </c>
      <c r="J479" s="49">
        <f>375000+124906-499906</f>
        <v>0</v>
      </c>
      <c r="K479" s="49"/>
      <c r="L479" s="49"/>
      <c r="M479" s="49"/>
      <c r="N479" s="49"/>
      <c r="O479" s="49">
        <v>30000</v>
      </c>
      <c r="P479" s="49">
        <f>103000+111336</f>
        <v>214336</v>
      </c>
      <c r="Q479" s="49">
        <f>242000-34200-20700</f>
        <v>187100</v>
      </c>
      <c r="R479" s="49">
        <f>13570+34200+20700</f>
        <v>68470</v>
      </c>
      <c r="S479" s="49">
        <v>-499906</v>
      </c>
      <c r="T479" s="49"/>
      <c r="U479" s="49"/>
      <c r="V479" s="49"/>
      <c r="W479" s="49"/>
      <c r="X479" s="40">
        <f t="shared" si="47"/>
        <v>0</v>
      </c>
    </row>
    <row r="480" spans="2:24" ht="94.5" hidden="1">
      <c r="B480" s="292"/>
      <c r="C480" s="292"/>
      <c r="D480" s="289"/>
      <c r="E480" s="95" t="s">
        <v>888</v>
      </c>
      <c r="F480" s="76">
        <v>78858</v>
      </c>
      <c r="G480" s="18">
        <f t="shared" si="49"/>
        <v>1</v>
      </c>
      <c r="H480" s="224">
        <v>78858</v>
      </c>
      <c r="I480" s="255">
        <v>3132</v>
      </c>
      <c r="J480" s="49">
        <f>78858-1474-77384</f>
        <v>0</v>
      </c>
      <c r="K480" s="49"/>
      <c r="L480" s="49"/>
      <c r="M480" s="49"/>
      <c r="N480" s="49"/>
      <c r="O480" s="49">
        <v>6300</v>
      </c>
      <c r="P480" s="49">
        <f>21700-1474</f>
        <v>20226</v>
      </c>
      <c r="Q480" s="49"/>
      <c r="R480" s="49">
        <v>50858</v>
      </c>
      <c r="S480" s="49">
        <v>-77384</v>
      </c>
      <c r="T480" s="49"/>
      <c r="U480" s="49"/>
      <c r="V480" s="49"/>
      <c r="W480" s="49"/>
      <c r="X480" s="40">
        <f t="shared" si="47"/>
        <v>0</v>
      </c>
    </row>
    <row r="481" spans="2:24" ht="94.5">
      <c r="B481" s="292"/>
      <c r="C481" s="292"/>
      <c r="D481" s="289"/>
      <c r="E481" s="95" t="s">
        <v>711</v>
      </c>
      <c r="F481" s="76">
        <v>475000</v>
      </c>
      <c r="G481" s="18">
        <f t="shared" si="49"/>
        <v>1</v>
      </c>
      <c r="H481" s="224">
        <v>475000</v>
      </c>
      <c r="I481" s="255">
        <v>3132</v>
      </c>
      <c r="J481" s="49">
        <f>427600-61797+380958</f>
        <v>746761</v>
      </c>
      <c r="K481" s="49"/>
      <c r="L481" s="49"/>
      <c r="M481" s="49"/>
      <c r="N481" s="49"/>
      <c r="O481" s="49">
        <v>34200</v>
      </c>
      <c r="P481" s="49">
        <f>118000-23760-61797</f>
        <v>32443</v>
      </c>
      <c r="Q481" s="49">
        <f>34200+20700</f>
        <v>54900</v>
      </c>
      <c r="R481" s="49">
        <f>275400+23760-34200-20700</f>
        <v>244260</v>
      </c>
      <c r="S481" s="49">
        <v>380958</v>
      </c>
      <c r="T481" s="49"/>
      <c r="U481" s="49"/>
      <c r="V481" s="49"/>
      <c r="W481" s="49">
        <f>66643+34193.36+20700+234284.84+1000+385827.4</f>
        <v>742648.6000000001</v>
      </c>
      <c r="X481" s="40">
        <f t="shared" si="47"/>
        <v>4112.399999999907</v>
      </c>
    </row>
    <row r="482" spans="2:24" ht="78.75">
      <c r="B482" s="292"/>
      <c r="C482" s="292"/>
      <c r="D482" s="289"/>
      <c r="E482" s="95" t="s">
        <v>46</v>
      </c>
      <c r="F482" s="76"/>
      <c r="G482" s="18"/>
      <c r="H482" s="224"/>
      <c r="I482" s="255">
        <v>3132</v>
      </c>
      <c r="J482" s="49">
        <f>183162+165017+174363.69+499906+77384-729.8</f>
        <v>1099102.89</v>
      </c>
      <c r="K482" s="49"/>
      <c r="L482" s="49"/>
      <c r="M482" s="49"/>
      <c r="N482" s="49"/>
      <c r="O482" s="49"/>
      <c r="P482" s="49"/>
      <c r="Q482" s="49"/>
      <c r="R482" s="49"/>
      <c r="S482" s="49">
        <f>183162+165017+174363.69+499906+77384</f>
        <v>1099832.69</v>
      </c>
      <c r="T482" s="49"/>
      <c r="U482" s="49"/>
      <c r="V482" s="49">
        <v>-729.8</v>
      </c>
      <c r="W482" s="49">
        <f>52225.87+10694+47185.24+9946+49586.46+10450+137236.28+28898+15035.39+3120+105.96+722854.6</f>
        <v>1087337.8</v>
      </c>
      <c r="X482" s="40">
        <f t="shared" si="47"/>
        <v>11765.089999999851</v>
      </c>
    </row>
    <row r="483" spans="2:24" ht="47.25">
      <c r="B483" s="292"/>
      <c r="C483" s="292"/>
      <c r="D483" s="289"/>
      <c r="E483" s="95" t="s">
        <v>956</v>
      </c>
      <c r="F483" s="76"/>
      <c r="G483" s="18"/>
      <c r="H483" s="224"/>
      <c r="I483" s="255"/>
      <c r="J483" s="49">
        <f>SUM(J484:J499)</f>
        <v>1235800</v>
      </c>
      <c r="K483" s="49">
        <f aca="true" t="shared" si="50" ref="K483:W483">SUM(K484:K499)</f>
        <v>0</v>
      </c>
      <c r="L483" s="49">
        <f t="shared" si="50"/>
        <v>0</v>
      </c>
      <c r="M483" s="49">
        <f t="shared" si="50"/>
        <v>0</v>
      </c>
      <c r="N483" s="49">
        <f t="shared" si="50"/>
        <v>0</v>
      </c>
      <c r="O483" s="49">
        <f t="shared" si="50"/>
        <v>10000</v>
      </c>
      <c r="P483" s="49">
        <f t="shared" si="50"/>
        <v>36120</v>
      </c>
      <c r="Q483" s="49">
        <f t="shared" si="50"/>
        <v>0</v>
      </c>
      <c r="R483" s="49">
        <f t="shared" si="50"/>
        <v>1076680</v>
      </c>
      <c r="S483" s="49">
        <f t="shared" si="50"/>
        <v>0</v>
      </c>
      <c r="T483" s="49">
        <f t="shared" si="50"/>
        <v>0</v>
      </c>
      <c r="U483" s="49">
        <f t="shared" si="50"/>
        <v>80000</v>
      </c>
      <c r="V483" s="49">
        <f t="shared" si="50"/>
        <v>33000</v>
      </c>
      <c r="W483" s="49">
        <f t="shared" si="50"/>
        <v>1227171.2</v>
      </c>
      <c r="X483" s="40">
        <f t="shared" si="47"/>
        <v>8628.800000000047</v>
      </c>
    </row>
    <row r="484" spans="2:24" ht="31.5">
      <c r="B484" s="292"/>
      <c r="C484" s="292"/>
      <c r="D484" s="289"/>
      <c r="E484" s="96" t="s">
        <v>957</v>
      </c>
      <c r="F484" s="76"/>
      <c r="G484" s="18"/>
      <c r="H484" s="224"/>
      <c r="I484" s="255">
        <v>3110</v>
      </c>
      <c r="J484" s="49">
        <f>200000+134618.96</f>
        <v>334618.95999999996</v>
      </c>
      <c r="K484" s="49"/>
      <c r="L484" s="49"/>
      <c r="M484" s="49"/>
      <c r="N484" s="49"/>
      <c r="O484" s="49"/>
      <c r="P484" s="49"/>
      <c r="Q484" s="49"/>
      <c r="R484" s="49">
        <v>200000</v>
      </c>
      <c r="S484" s="49">
        <v>134618.96</v>
      </c>
      <c r="T484" s="49"/>
      <c r="U484" s="49"/>
      <c r="V484" s="49"/>
      <c r="W484" s="49">
        <v>334618.96</v>
      </c>
      <c r="X484" s="40">
        <f t="shared" si="47"/>
        <v>0</v>
      </c>
    </row>
    <row r="485" spans="2:24" ht="15.75" hidden="1">
      <c r="B485" s="292"/>
      <c r="C485" s="292"/>
      <c r="D485" s="289"/>
      <c r="E485" s="96" t="s">
        <v>958</v>
      </c>
      <c r="F485" s="76"/>
      <c r="G485" s="18"/>
      <c r="H485" s="224"/>
      <c r="I485" s="255">
        <v>3110</v>
      </c>
      <c r="J485" s="49">
        <f>200000-200000</f>
        <v>0</v>
      </c>
      <c r="K485" s="49"/>
      <c r="L485" s="49"/>
      <c r="M485" s="49"/>
      <c r="N485" s="49"/>
      <c r="O485" s="49"/>
      <c r="P485" s="49"/>
      <c r="Q485" s="49"/>
      <c r="R485" s="49">
        <v>200000</v>
      </c>
      <c r="S485" s="49"/>
      <c r="T485" s="49"/>
      <c r="U485" s="49">
        <v>-200000</v>
      </c>
      <c r="V485" s="49"/>
      <c r="W485" s="49"/>
      <c r="X485" s="40">
        <f t="shared" si="47"/>
        <v>0</v>
      </c>
    </row>
    <row r="486" spans="2:24" ht="15.75" hidden="1">
      <c r="B486" s="292"/>
      <c r="C486" s="292"/>
      <c r="D486" s="289"/>
      <c r="E486" s="96" t="s">
        <v>312</v>
      </c>
      <c r="F486" s="76"/>
      <c r="G486" s="18"/>
      <c r="H486" s="224"/>
      <c r="I486" s="255">
        <v>3110</v>
      </c>
      <c r="J486" s="49">
        <f>52000-52000</f>
        <v>0</v>
      </c>
      <c r="K486" s="49"/>
      <c r="L486" s="49"/>
      <c r="M486" s="49"/>
      <c r="N486" s="49"/>
      <c r="O486" s="49"/>
      <c r="P486" s="49"/>
      <c r="Q486" s="49"/>
      <c r="R486" s="49">
        <v>52000</v>
      </c>
      <c r="S486" s="49"/>
      <c r="T486" s="49"/>
      <c r="U486" s="49">
        <v>-52000</v>
      </c>
      <c r="V486" s="49"/>
      <c r="W486" s="49"/>
      <c r="X486" s="40">
        <f t="shared" si="47"/>
        <v>0</v>
      </c>
    </row>
    <row r="487" spans="2:24" ht="47.25">
      <c r="B487" s="292"/>
      <c r="C487" s="292"/>
      <c r="D487" s="289"/>
      <c r="E487" s="96" t="s">
        <v>917</v>
      </c>
      <c r="F487" s="76"/>
      <c r="G487" s="18"/>
      <c r="H487" s="224"/>
      <c r="I487" s="255">
        <v>3110</v>
      </c>
      <c r="J487" s="49">
        <f>100000+370000</f>
        <v>470000</v>
      </c>
      <c r="K487" s="49"/>
      <c r="L487" s="49"/>
      <c r="M487" s="49"/>
      <c r="N487" s="49"/>
      <c r="O487" s="49"/>
      <c r="P487" s="49"/>
      <c r="Q487" s="49"/>
      <c r="R487" s="49">
        <v>100000</v>
      </c>
      <c r="S487" s="49"/>
      <c r="T487" s="49"/>
      <c r="U487" s="49">
        <v>370000</v>
      </c>
      <c r="V487" s="49"/>
      <c r="W487" s="49">
        <v>469350</v>
      </c>
      <c r="X487" s="40">
        <f t="shared" si="47"/>
        <v>650</v>
      </c>
    </row>
    <row r="488" spans="2:24" ht="15.75" hidden="1">
      <c r="B488" s="292"/>
      <c r="C488" s="292"/>
      <c r="D488" s="289"/>
      <c r="E488" s="96" t="s">
        <v>313</v>
      </c>
      <c r="F488" s="76"/>
      <c r="G488" s="18"/>
      <c r="H488" s="224"/>
      <c r="I488" s="255">
        <v>3110</v>
      </c>
      <c r="J488" s="49">
        <f>132000-132000</f>
        <v>0</v>
      </c>
      <c r="K488" s="49"/>
      <c r="L488" s="49"/>
      <c r="M488" s="49"/>
      <c r="N488" s="49"/>
      <c r="O488" s="49"/>
      <c r="P488" s="49"/>
      <c r="Q488" s="49"/>
      <c r="R488" s="49">
        <v>132000</v>
      </c>
      <c r="S488" s="49"/>
      <c r="T488" s="49"/>
      <c r="U488" s="49">
        <v>-132000</v>
      </c>
      <c r="V488" s="49"/>
      <c r="W488" s="49"/>
      <c r="X488" s="40">
        <f t="shared" si="47"/>
        <v>0</v>
      </c>
    </row>
    <row r="489" spans="2:24" ht="15.75" hidden="1">
      <c r="B489" s="292"/>
      <c r="C489" s="292"/>
      <c r="D489" s="289"/>
      <c r="E489" s="96" t="s">
        <v>314</v>
      </c>
      <c r="F489" s="76"/>
      <c r="G489" s="18"/>
      <c r="H489" s="224"/>
      <c r="I489" s="255">
        <v>3110</v>
      </c>
      <c r="J489" s="49">
        <f>20000-20000</f>
        <v>0</v>
      </c>
      <c r="K489" s="49"/>
      <c r="L489" s="49"/>
      <c r="M489" s="49"/>
      <c r="N489" s="49"/>
      <c r="O489" s="49"/>
      <c r="P489" s="49"/>
      <c r="Q489" s="49"/>
      <c r="R489" s="49">
        <v>20000</v>
      </c>
      <c r="S489" s="49"/>
      <c r="T489" s="49"/>
      <c r="U489" s="49">
        <v>-20000</v>
      </c>
      <c r="V489" s="49"/>
      <c r="W489" s="49"/>
      <c r="X489" s="40">
        <f t="shared" si="47"/>
        <v>0</v>
      </c>
    </row>
    <row r="490" spans="2:24" ht="15.75" hidden="1">
      <c r="B490" s="292"/>
      <c r="C490" s="292"/>
      <c r="D490" s="289"/>
      <c r="E490" s="96" t="s">
        <v>959</v>
      </c>
      <c r="F490" s="76"/>
      <c r="G490" s="18"/>
      <c r="H490" s="224"/>
      <c r="I490" s="255">
        <v>3110</v>
      </c>
      <c r="J490" s="49">
        <f>30000-30000</f>
        <v>0</v>
      </c>
      <c r="K490" s="49"/>
      <c r="L490" s="49"/>
      <c r="M490" s="49"/>
      <c r="N490" s="49"/>
      <c r="O490" s="49"/>
      <c r="P490" s="49"/>
      <c r="Q490" s="49"/>
      <c r="R490" s="49">
        <v>30000</v>
      </c>
      <c r="S490" s="49">
        <v>-30000</v>
      </c>
      <c r="T490" s="49"/>
      <c r="U490" s="49"/>
      <c r="V490" s="49"/>
      <c r="W490" s="49"/>
      <c r="X490" s="40">
        <f t="shared" si="47"/>
        <v>0</v>
      </c>
    </row>
    <row r="491" spans="2:24" ht="15.75">
      <c r="B491" s="292"/>
      <c r="C491" s="292"/>
      <c r="D491" s="289"/>
      <c r="E491" s="96" t="s">
        <v>960</v>
      </c>
      <c r="F491" s="76"/>
      <c r="G491" s="18"/>
      <c r="H491" s="224"/>
      <c r="I491" s="255">
        <v>3110</v>
      </c>
      <c r="J491" s="49">
        <f>109400-12691.2</f>
        <v>96708.8</v>
      </c>
      <c r="K491" s="49"/>
      <c r="L491" s="49"/>
      <c r="M491" s="49"/>
      <c r="N491" s="49"/>
      <c r="O491" s="49"/>
      <c r="P491" s="49"/>
      <c r="Q491" s="49"/>
      <c r="R491" s="49">
        <v>109400</v>
      </c>
      <c r="S491" s="49"/>
      <c r="T491" s="49"/>
      <c r="U491" s="49">
        <v>-12691.2</v>
      </c>
      <c r="V491" s="49"/>
      <c r="W491" s="49">
        <v>88730</v>
      </c>
      <c r="X491" s="40">
        <f t="shared" si="47"/>
        <v>7978.800000000003</v>
      </c>
    </row>
    <row r="492" spans="2:24" ht="15.75">
      <c r="B492" s="292"/>
      <c r="C492" s="292"/>
      <c r="D492" s="289"/>
      <c r="E492" s="96" t="s">
        <v>961</v>
      </c>
      <c r="F492" s="76"/>
      <c r="G492" s="18"/>
      <c r="H492" s="224"/>
      <c r="I492" s="255">
        <v>3110</v>
      </c>
      <c r="J492" s="49">
        <f>10000-47.76</f>
        <v>9952.24</v>
      </c>
      <c r="K492" s="49"/>
      <c r="L492" s="49"/>
      <c r="M492" s="49"/>
      <c r="N492" s="49"/>
      <c r="O492" s="49">
        <v>10000</v>
      </c>
      <c r="P492" s="49"/>
      <c r="Q492" s="49"/>
      <c r="R492" s="49"/>
      <c r="S492" s="49">
        <v>-47.76</v>
      </c>
      <c r="T492" s="49"/>
      <c r="U492" s="49"/>
      <c r="V492" s="49"/>
      <c r="W492" s="49">
        <f>10000-47.76</f>
        <v>9952.24</v>
      </c>
      <c r="X492" s="40">
        <f t="shared" si="47"/>
        <v>0</v>
      </c>
    </row>
    <row r="493" spans="2:24" ht="31.5" hidden="1">
      <c r="B493" s="292"/>
      <c r="C493" s="292"/>
      <c r="D493" s="289"/>
      <c r="E493" s="96" t="s">
        <v>962</v>
      </c>
      <c r="F493" s="76"/>
      <c r="G493" s="18"/>
      <c r="H493" s="224"/>
      <c r="I493" s="255">
        <v>3110</v>
      </c>
      <c r="J493" s="49">
        <f>40000-40000</f>
        <v>0</v>
      </c>
      <c r="K493" s="49"/>
      <c r="L493" s="49"/>
      <c r="M493" s="49"/>
      <c r="N493" s="49"/>
      <c r="O493" s="49"/>
      <c r="P493" s="49"/>
      <c r="Q493" s="49"/>
      <c r="R493" s="49">
        <v>40000</v>
      </c>
      <c r="S493" s="49">
        <v>-40000</v>
      </c>
      <c r="T493" s="49"/>
      <c r="U493" s="49"/>
      <c r="V493" s="49"/>
      <c r="W493" s="49"/>
      <c r="X493" s="40">
        <f t="shared" si="47"/>
        <v>0</v>
      </c>
    </row>
    <row r="494" spans="2:24" ht="15.75">
      <c r="B494" s="292"/>
      <c r="C494" s="292"/>
      <c r="D494" s="289"/>
      <c r="E494" s="96" t="s">
        <v>963</v>
      </c>
      <c r="F494" s="76"/>
      <c r="G494" s="18"/>
      <c r="H494" s="224"/>
      <c r="I494" s="255">
        <v>3110</v>
      </c>
      <c r="J494" s="49">
        <f>18000+27000</f>
        <v>45000</v>
      </c>
      <c r="K494" s="49"/>
      <c r="L494" s="49"/>
      <c r="M494" s="49"/>
      <c r="N494" s="49"/>
      <c r="O494" s="49"/>
      <c r="P494" s="49"/>
      <c r="Q494" s="49"/>
      <c r="R494" s="49">
        <v>18000</v>
      </c>
      <c r="S494" s="49"/>
      <c r="T494" s="49"/>
      <c r="U494" s="49">
        <v>27000</v>
      </c>
      <c r="V494" s="49"/>
      <c r="W494" s="49">
        <v>45000</v>
      </c>
      <c r="X494" s="40">
        <f t="shared" si="47"/>
        <v>0</v>
      </c>
    </row>
    <row r="495" spans="2:24" ht="15.75">
      <c r="B495" s="292"/>
      <c r="C495" s="292"/>
      <c r="D495" s="289"/>
      <c r="E495" s="96" t="s">
        <v>308</v>
      </c>
      <c r="F495" s="76"/>
      <c r="G495" s="18"/>
      <c r="H495" s="224"/>
      <c r="I495" s="255">
        <v>3110</v>
      </c>
      <c r="J495" s="49">
        <f>60000+3308.8+19691.2</f>
        <v>83000</v>
      </c>
      <c r="K495" s="49"/>
      <c r="L495" s="49"/>
      <c r="M495" s="49"/>
      <c r="N495" s="49"/>
      <c r="O495" s="49"/>
      <c r="P495" s="49"/>
      <c r="Q495" s="49"/>
      <c r="R495" s="49">
        <v>60000</v>
      </c>
      <c r="S495" s="49">
        <v>3308.8</v>
      </c>
      <c r="T495" s="49"/>
      <c r="U495" s="49">
        <v>19691.2</v>
      </c>
      <c r="V495" s="49"/>
      <c r="W495" s="49">
        <v>83000</v>
      </c>
      <c r="X495" s="40">
        <f t="shared" si="47"/>
        <v>0</v>
      </c>
    </row>
    <row r="496" spans="2:24" ht="15.75" hidden="1">
      <c r="B496" s="292"/>
      <c r="C496" s="292"/>
      <c r="D496" s="289"/>
      <c r="E496" s="96" t="s">
        <v>964</v>
      </c>
      <c r="F496" s="76"/>
      <c r="G496" s="18"/>
      <c r="H496" s="224"/>
      <c r="I496" s="255">
        <v>3110</v>
      </c>
      <c r="J496" s="49">
        <f>66000-66000</f>
        <v>0</v>
      </c>
      <c r="K496" s="49"/>
      <c r="L496" s="49"/>
      <c r="M496" s="49"/>
      <c r="N496" s="49"/>
      <c r="O496" s="49"/>
      <c r="P496" s="49"/>
      <c r="Q496" s="49"/>
      <c r="R496" s="49">
        <v>66000</v>
      </c>
      <c r="S496" s="49">
        <v>-66000</v>
      </c>
      <c r="T496" s="49"/>
      <c r="U496" s="49"/>
      <c r="V496" s="49"/>
      <c r="W496" s="49"/>
      <c r="X496" s="40">
        <f t="shared" si="47"/>
        <v>0</v>
      </c>
    </row>
    <row r="497" spans="2:24" ht="15.75">
      <c r="B497" s="292"/>
      <c r="C497" s="292"/>
      <c r="D497" s="289"/>
      <c r="E497" s="96" t="s">
        <v>965</v>
      </c>
      <c r="F497" s="76"/>
      <c r="G497" s="18"/>
      <c r="H497" s="224"/>
      <c r="I497" s="255">
        <v>3110</v>
      </c>
      <c r="J497" s="49">
        <f>38000-1880</f>
        <v>36120</v>
      </c>
      <c r="K497" s="49"/>
      <c r="L497" s="49"/>
      <c r="M497" s="49"/>
      <c r="N497" s="49"/>
      <c r="O497" s="49"/>
      <c r="P497" s="49">
        <v>36120</v>
      </c>
      <c r="Q497" s="49"/>
      <c r="R497" s="49">
        <f>38000-36120</f>
        <v>1880</v>
      </c>
      <c r="S497" s="49">
        <v>-1880</v>
      </c>
      <c r="T497" s="49"/>
      <c r="U497" s="49"/>
      <c r="V497" s="49"/>
      <c r="W497" s="49">
        <v>36120</v>
      </c>
      <c r="X497" s="40">
        <f t="shared" si="47"/>
        <v>0</v>
      </c>
    </row>
    <row r="498" spans="2:24" ht="15.75">
      <c r="B498" s="292"/>
      <c r="C498" s="292"/>
      <c r="D498" s="289"/>
      <c r="E498" s="96" t="s">
        <v>54</v>
      </c>
      <c r="F498" s="76"/>
      <c r="G498" s="18"/>
      <c r="H498" s="224"/>
      <c r="I498" s="255">
        <v>3110</v>
      </c>
      <c r="J498" s="49">
        <v>63000</v>
      </c>
      <c r="K498" s="49"/>
      <c r="L498" s="49"/>
      <c r="M498" s="49"/>
      <c r="N498" s="49"/>
      <c r="O498" s="49"/>
      <c r="P498" s="49"/>
      <c r="Q498" s="49"/>
      <c r="R498" s="49"/>
      <c r="S498" s="49"/>
      <c r="T498" s="49"/>
      <c r="U498" s="49"/>
      <c r="V498" s="49">
        <v>63000</v>
      </c>
      <c r="W498" s="49">
        <v>63000</v>
      </c>
      <c r="X498" s="40">
        <f t="shared" si="47"/>
        <v>0</v>
      </c>
    </row>
    <row r="499" spans="2:24" ht="31.5">
      <c r="B499" s="293"/>
      <c r="C499" s="293"/>
      <c r="D499" s="290"/>
      <c r="E499" s="96" t="s">
        <v>930</v>
      </c>
      <c r="F499" s="76"/>
      <c r="G499" s="18"/>
      <c r="H499" s="224"/>
      <c r="I499" s="255">
        <v>3110</v>
      </c>
      <c r="J499" s="49">
        <f>47400+80000-30000</f>
        <v>97400</v>
      </c>
      <c r="K499" s="49"/>
      <c r="L499" s="49"/>
      <c r="M499" s="49"/>
      <c r="N499" s="49"/>
      <c r="O499" s="49"/>
      <c r="P499" s="49"/>
      <c r="Q499" s="49"/>
      <c r="R499" s="49">
        <v>47400</v>
      </c>
      <c r="S499" s="49"/>
      <c r="T499" s="49"/>
      <c r="U499" s="49">
        <v>80000</v>
      </c>
      <c r="V499" s="49">
        <v>-30000</v>
      </c>
      <c r="W499" s="49">
        <f>26850+20550+50000</f>
        <v>97400</v>
      </c>
      <c r="X499" s="40">
        <f t="shared" si="47"/>
        <v>0</v>
      </c>
    </row>
    <row r="500" spans="2:24" ht="15.75">
      <c r="B500" s="291" t="s">
        <v>491</v>
      </c>
      <c r="C500" s="291" t="s">
        <v>558</v>
      </c>
      <c r="D500" s="288" t="s">
        <v>11</v>
      </c>
      <c r="E500" s="94"/>
      <c r="F500" s="76"/>
      <c r="G500" s="99"/>
      <c r="H500" s="224"/>
      <c r="I500" s="255"/>
      <c r="J500" s="211">
        <f>J501+J505+J508+J509+J513+J518+J519+J528+J531+J510+J526+J529+J525+J527+J511+J512+J530</f>
        <v>6274924.65</v>
      </c>
      <c r="K500" s="211">
        <f aca="true" t="shared" si="51" ref="K500:W500">K501+K505+K508+K509+K513+K518+K519+K528+K531+K510+K526+K529+K525+K527+K511+K512+K530</f>
        <v>0</v>
      </c>
      <c r="L500" s="211">
        <f t="shared" si="51"/>
        <v>703098.3200000001</v>
      </c>
      <c r="M500" s="211">
        <f t="shared" si="51"/>
        <v>3939</v>
      </c>
      <c r="N500" s="211">
        <f t="shared" si="51"/>
        <v>0</v>
      </c>
      <c r="O500" s="211">
        <f t="shared" si="51"/>
        <v>326622</v>
      </c>
      <c r="P500" s="211">
        <f t="shared" si="51"/>
        <v>200000</v>
      </c>
      <c r="Q500" s="211">
        <f t="shared" si="51"/>
        <v>350000</v>
      </c>
      <c r="R500" s="211">
        <f t="shared" si="51"/>
        <v>1449883.84</v>
      </c>
      <c r="S500" s="211">
        <f t="shared" si="51"/>
        <v>3330805.99</v>
      </c>
      <c r="T500" s="211">
        <f t="shared" si="51"/>
        <v>748046.4</v>
      </c>
      <c r="U500" s="211">
        <f t="shared" si="51"/>
        <v>-994958.3</v>
      </c>
      <c r="V500" s="211">
        <f t="shared" si="51"/>
        <v>157487.4</v>
      </c>
      <c r="W500" s="211">
        <f t="shared" si="51"/>
        <v>6142674.119999999</v>
      </c>
      <c r="X500" s="184">
        <f t="shared" si="47"/>
        <v>132250.5300000012</v>
      </c>
    </row>
    <row r="501" spans="2:24" ht="47.25">
      <c r="B501" s="292"/>
      <c r="C501" s="292"/>
      <c r="D501" s="289"/>
      <c r="E501" s="10" t="s">
        <v>56</v>
      </c>
      <c r="F501" s="76"/>
      <c r="G501" s="99"/>
      <c r="H501" s="224"/>
      <c r="I501" s="255"/>
      <c r="J501" s="21">
        <f>SUM(J502:J504)</f>
        <v>55501.5</v>
      </c>
      <c r="K501" s="49"/>
      <c r="L501" s="21">
        <f>SUM(L502:L504)</f>
        <v>55501.5</v>
      </c>
      <c r="M501" s="49"/>
      <c r="N501" s="49"/>
      <c r="O501" s="49"/>
      <c r="P501" s="49"/>
      <c r="Q501" s="49"/>
      <c r="R501" s="49"/>
      <c r="S501" s="49"/>
      <c r="T501" s="49"/>
      <c r="U501" s="49"/>
      <c r="V501" s="49"/>
      <c r="W501" s="21">
        <f>SUM(W502:W504)</f>
        <v>55501.5</v>
      </c>
      <c r="X501" s="40">
        <f t="shared" si="47"/>
        <v>0</v>
      </c>
    </row>
    <row r="502" spans="2:24" ht="47.25">
      <c r="B502" s="292"/>
      <c r="C502" s="292"/>
      <c r="D502" s="289"/>
      <c r="E502" s="11" t="s">
        <v>57</v>
      </c>
      <c r="F502" s="76"/>
      <c r="G502" s="99"/>
      <c r="H502" s="224"/>
      <c r="I502" s="255">
        <v>3110</v>
      </c>
      <c r="J502" s="9">
        <v>16500</v>
      </c>
      <c r="K502" s="49"/>
      <c r="L502" s="9">
        <v>16500</v>
      </c>
      <c r="M502" s="49"/>
      <c r="N502" s="49"/>
      <c r="O502" s="49"/>
      <c r="P502" s="49"/>
      <c r="Q502" s="49"/>
      <c r="R502" s="49"/>
      <c r="S502" s="49"/>
      <c r="T502" s="49"/>
      <c r="U502" s="49"/>
      <c r="V502" s="49"/>
      <c r="W502" s="9">
        <v>16500</v>
      </c>
      <c r="X502" s="40">
        <f t="shared" si="47"/>
        <v>0</v>
      </c>
    </row>
    <row r="503" spans="2:24" ht="47.25">
      <c r="B503" s="292"/>
      <c r="C503" s="292"/>
      <c r="D503" s="289"/>
      <c r="E503" s="11" t="s">
        <v>138</v>
      </c>
      <c r="F503" s="76"/>
      <c r="G503" s="99"/>
      <c r="H503" s="224"/>
      <c r="I503" s="255">
        <v>3110</v>
      </c>
      <c r="J503" s="9">
        <v>19500.75</v>
      </c>
      <c r="K503" s="49"/>
      <c r="L503" s="9">
        <v>19500.75</v>
      </c>
      <c r="M503" s="49"/>
      <c r="N503" s="49"/>
      <c r="O503" s="49"/>
      <c r="P503" s="49"/>
      <c r="Q503" s="49"/>
      <c r="R503" s="49"/>
      <c r="S503" s="49"/>
      <c r="T503" s="49"/>
      <c r="U503" s="49"/>
      <c r="V503" s="49"/>
      <c r="W503" s="9">
        <v>19500.75</v>
      </c>
      <c r="X503" s="40">
        <f t="shared" si="47"/>
        <v>0</v>
      </c>
    </row>
    <row r="504" spans="2:24" ht="47.25">
      <c r="B504" s="292"/>
      <c r="C504" s="292"/>
      <c r="D504" s="289"/>
      <c r="E504" s="11" t="s">
        <v>276</v>
      </c>
      <c r="F504" s="76"/>
      <c r="G504" s="99"/>
      <c r="H504" s="224"/>
      <c r="I504" s="255">
        <v>3110</v>
      </c>
      <c r="J504" s="9">
        <v>19500.75</v>
      </c>
      <c r="K504" s="49"/>
      <c r="L504" s="9">
        <v>19500.75</v>
      </c>
      <c r="M504" s="49"/>
      <c r="N504" s="49"/>
      <c r="O504" s="49"/>
      <c r="P504" s="49"/>
      <c r="Q504" s="49"/>
      <c r="R504" s="49"/>
      <c r="S504" s="49"/>
      <c r="T504" s="49"/>
      <c r="U504" s="49"/>
      <c r="V504" s="49"/>
      <c r="W504" s="9">
        <v>19500.75</v>
      </c>
      <c r="X504" s="40">
        <f t="shared" si="47"/>
        <v>0</v>
      </c>
    </row>
    <row r="505" spans="2:24" ht="31.5">
      <c r="B505" s="292"/>
      <c r="C505" s="292"/>
      <c r="D505" s="289"/>
      <c r="E505" s="10" t="s">
        <v>277</v>
      </c>
      <c r="F505" s="76"/>
      <c r="G505" s="99"/>
      <c r="H505" s="224"/>
      <c r="I505" s="255"/>
      <c r="J505" s="21">
        <f>SUM(J506:J507)</f>
        <v>16998.02</v>
      </c>
      <c r="K505" s="49"/>
      <c r="L505" s="21">
        <f>SUM(L506:L507)</f>
        <v>16998.02</v>
      </c>
      <c r="M505" s="49"/>
      <c r="N505" s="49"/>
      <c r="O505" s="49"/>
      <c r="P505" s="49"/>
      <c r="Q505" s="49"/>
      <c r="R505" s="49"/>
      <c r="S505" s="49"/>
      <c r="T505" s="49"/>
      <c r="U505" s="49"/>
      <c r="V505" s="49"/>
      <c r="W505" s="21">
        <f>SUM(W506:W507)</f>
        <v>16998.02</v>
      </c>
      <c r="X505" s="40">
        <f t="shared" si="47"/>
        <v>0</v>
      </c>
    </row>
    <row r="506" spans="2:24" ht="47.25">
      <c r="B506" s="292"/>
      <c r="C506" s="292"/>
      <c r="D506" s="289"/>
      <c r="E506" s="11" t="s">
        <v>138</v>
      </c>
      <c r="F506" s="76"/>
      <c r="G506" s="99"/>
      <c r="H506" s="224"/>
      <c r="I506" s="255">
        <v>3110</v>
      </c>
      <c r="J506" s="9">
        <v>8499.01</v>
      </c>
      <c r="K506" s="49"/>
      <c r="L506" s="9">
        <v>8499.01</v>
      </c>
      <c r="M506" s="49"/>
      <c r="N506" s="49"/>
      <c r="O506" s="49"/>
      <c r="P506" s="49"/>
      <c r="Q506" s="49"/>
      <c r="R506" s="49"/>
      <c r="S506" s="49"/>
      <c r="T506" s="49"/>
      <c r="U506" s="49"/>
      <c r="V506" s="49"/>
      <c r="W506" s="9">
        <v>8499.01</v>
      </c>
      <c r="X506" s="40">
        <f t="shared" si="47"/>
        <v>0</v>
      </c>
    </row>
    <row r="507" spans="2:24" ht="47.25">
      <c r="B507" s="292"/>
      <c r="C507" s="292"/>
      <c r="D507" s="289"/>
      <c r="E507" s="11" t="s">
        <v>276</v>
      </c>
      <c r="F507" s="76"/>
      <c r="G507" s="99"/>
      <c r="H507" s="224"/>
      <c r="I507" s="255">
        <v>3110</v>
      </c>
      <c r="J507" s="9">
        <v>8499.01</v>
      </c>
      <c r="K507" s="49"/>
      <c r="L507" s="9">
        <v>8499.01</v>
      </c>
      <c r="M507" s="49"/>
      <c r="N507" s="49"/>
      <c r="O507" s="49"/>
      <c r="P507" s="49"/>
      <c r="Q507" s="49"/>
      <c r="R507" s="49"/>
      <c r="S507" s="49"/>
      <c r="T507" s="49"/>
      <c r="U507" s="49"/>
      <c r="V507" s="49"/>
      <c r="W507" s="9">
        <v>8499.01</v>
      </c>
      <c r="X507" s="40">
        <f t="shared" si="47"/>
        <v>0</v>
      </c>
    </row>
    <row r="508" spans="2:24" ht="110.25">
      <c r="B508" s="292"/>
      <c r="C508" s="292"/>
      <c r="D508" s="289"/>
      <c r="E508" s="10" t="s">
        <v>391</v>
      </c>
      <c r="F508" s="76"/>
      <c r="G508" s="99"/>
      <c r="H508" s="224"/>
      <c r="I508" s="255">
        <v>3132</v>
      </c>
      <c r="J508" s="9">
        <v>576598.8</v>
      </c>
      <c r="K508" s="49"/>
      <c r="L508" s="9">
        <v>576598.8</v>
      </c>
      <c r="M508" s="49"/>
      <c r="N508" s="49"/>
      <c r="O508" s="49"/>
      <c r="P508" s="49"/>
      <c r="Q508" s="49"/>
      <c r="R508" s="49"/>
      <c r="S508" s="49"/>
      <c r="T508" s="49"/>
      <c r="U508" s="49"/>
      <c r="V508" s="49"/>
      <c r="W508" s="9">
        <v>576598.8</v>
      </c>
      <c r="X508" s="40">
        <f t="shared" si="47"/>
        <v>0</v>
      </c>
    </row>
    <row r="509" spans="2:24" ht="63">
      <c r="B509" s="292"/>
      <c r="C509" s="292"/>
      <c r="D509" s="289"/>
      <c r="E509" s="24" t="s">
        <v>406</v>
      </c>
      <c r="F509" s="49"/>
      <c r="G509" s="50"/>
      <c r="H509" s="220"/>
      <c r="I509" s="255">
        <v>3110</v>
      </c>
      <c r="J509" s="9">
        <v>54000</v>
      </c>
      <c r="K509" s="49"/>
      <c r="L509" s="9">
        <v>54000</v>
      </c>
      <c r="M509" s="49"/>
      <c r="N509" s="49"/>
      <c r="O509" s="49"/>
      <c r="P509" s="49"/>
      <c r="Q509" s="49"/>
      <c r="R509" s="49"/>
      <c r="S509" s="49"/>
      <c r="T509" s="49"/>
      <c r="U509" s="49"/>
      <c r="V509" s="49"/>
      <c r="W509" s="9">
        <v>54000</v>
      </c>
      <c r="X509" s="40">
        <f t="shared" si="47"/>
        <v>0</v>
      </c>
    </row>
    <row r="510" spans="2:24" ht="94.5">
      <c r="B510" s="292"/>
      <c r="C510" s="292"/>
      <c r="D510" s="289"/>
      <c r="E510" s="24" t="s">
        <v>621</v>
      </c>
      <c r="F510" s="49"/>
      <c r="G510" s="50"/>
      <c r="H510" s="220"/>
      <c r="I510" s="255">
        <v>3110</v>
      </c>
      <c r="J510" s="9">
        <v>3939</v>
      </c>
      <c r="K510" s="49"/>
      <c r="L510" s="9"/>
      <c r="M510" s="49">
        <v>3939</v>
      </c>
      <c r="N510" s="49"/>
      <c r="O510" s="49"/>
      <c r="P510" s="49"/>
      <c r="Q510" s="49"/>
      <c r="R510" s="49"/>
      <c r="S510" s="49"/>
      <c r="T510" s="49"/>
      <c r="U510" s="49"/>
      <c r="V510" s="49"/>
      <c r="W510" s="9">
        <v>3939</v>
      </c>
      <c r="X510" s="40">
        <f t="shared" si="47"/>
        <v>0</v>
      </c>
    </row>
    <row r="511" spans="2:24" ht="78.75">
      <c r="B511" s="292"/>
      <c r="C511" s="292"/>
      <c r="D511" s="289"/>
      <c r="E511" s="24" t="s">
        <v>724</v>
      </c>
      <c r="F511" s="49"/>
      <c r="G511" s="50"/>
      <c r="H511" s="220"/>
      <c r="I511" s="255">
        <v>3110</v>
      </c>
      <c r="J511" s="9">
        <v>290000</v>
      </c>
      <c r="K511" s="49"/>
      <c r="L511" s="9"/>
      <c r="M511" s="49"/>
      <c r="N511" s="49"/>
      <c r="O511" s="49"/>
      <c r="P511" s="49"/>
      <c r="Q511" s="49"/>
      <c r="R511" s="49"/>
      <c r="S511" s="49">
        <v>290000</v>
      </c>
      <c r="T511" s="49"/>
      <c r="U511" s="49"/>
      <c r="V511" s="49"/>
      <c r="W511" s="9">
        <v>290000</v>
      </c>
      <c r="X511" s="40">
        <f t="shared" si="47"/>
        <v>0</v>
      </c>
    </row>
    <row r="512" spans="2:24" ht="47.25">
      <c r="B512" s="292"/>
      <c r="C512" s="292"/>
      <c r="D512" s="289"/>
      <c r="E512" s="24" t="s">
        <v>706</v>
      </c>
      <c r="F512" s="49"/>
      <c r="G512" s="50"/>
      <c r="H512" s="220"/>
      <c r="I512" s="255">
        <v>3132</v>
      </c>
      <c r="J512" s="9">
        <v>595764</v>
      </c>
      <c r="K512" s="49"/>
      <c r="L512" s="9"/>
      <c r="M512" s="49"/>
      <c r="N512" s="49"/>
      <c r="O512" s="49"/>
      <c r="P512" s="49"/>
      <c r="Q512" s="49"/>
      <c r="R512" s="49"/>
      <c r="S512" s="49">
        <v>595764</v>
      </c>
      <c r="T512" s="49"/>
      <c r="U512" s="49"/>
      <c r="V512" s="49"/>
      <c r="W512" s="9">
        <f>173696.76+5400+282500.54+129892.8+2880.75</f>
        <v>594370.85</v>
      </c>
      <c r="X512" s="40">
        <f t="shared" si="47"/>
        <v>1393.1500000000233</v>
      </c>
    </row>
    <row r="513" spans="2:24" ht="47.25">
      <c r="B513" s="292"/>
      <c r="C513" s="292"/>
      <c r="D513" s="289"/>
      <c r="E513" s="88" t="s">
        <v>89</v>
      </c>
      <c r="F513" s="40"/>
      <c r="G513" s="40"/>
      <c r="H513" s="225"/>
      <c r="I513" s="255"/>
      <c r="J513" s="49">
        <f>SUM(J514:J517)</f>
        <v>1223164</v>
      </c>
      <c r="K513" s="49">
        <f aca="true" t="shared" si="52" ref="K513:W513">SUM(K514:K517)</f>
        <v>0</v>
      </c>
      <c r="L513" s="49">
        <f t="shared" si="52"/>
        <v>0</v>
      </c>
      <c r="M513" s="49">
        <f t="shared" si="52"/>
        <v>0</v>
      </c>
      <c r="N513" s="49">
        <f t="shared" si="52"/>
        <v>0</v>
      </c>
      <c r="O513" s="49">
        <f t="shared" si="52"/>
        <v>59375</v>
      </c>
      <c r="P513" s="49">
        <f t="shared" si="52"/>
        <v>0</v>
      </c>
      <c r="Q513" s="49">
        <f t="shared" si="52"/>
        <v>0</v>
      </c>
      <c r="R513" s="49">
        <f t="shared" si="52"/>
        <v>613070</v>
      </c>
      <c r="S513" s="49">
        <f t="shared" si="52"/>
        <v>461000</v>
      </c>
      <c r="T513" s="49">
        <f t="shared" si="52"/>
        <v>0</v>
      </c>
      <c r="U513" s="49">
        <f t="shared" si="52"/>
        <v>85219</v>
      </c>
      <c r="V513" s="49">
        <f t="shared" si="52"/>
        <v>4500</v>
      </c>
      <c r="W513" s="49">
        <f t="shared" si="52"/>
        <v>1223056.91</v>
      </c>
      <c r="X513" s="40">
        <f t="shared" si="47"/>
        <v>107.09000000008382</v>
      </c>
    </row>
    <row r="514" spans="2:24" ht="15.75">
      <c r="B514" s="292"/>
      <c r="C514" s="292"/>
      <c r="D514" s="289"/>
      <c r="E514" s="89" t="s">
        <v>183</v>
      </c>
      <c r="F514" s="49"/>
      <c r="G514" s="18"/>
      <c r="H514" s="220"/>
      <c r="I514" s="255">
        <v>3110</v>
      </c>
      <c r="J514" s="49">
        <f>47500+11875+461000-876</f>
        <v>519499</v>
      </c>
      <c r="K514" s="49"/>
      <c r="L514" s="49"/>
      <c r="M514" s="49"/>
      <c r="N514" s="49"/>
      <c r="O514" s="49">
        <v>59375</v>
      </c>
      <c r="P514" s="49"/>
      <c r="Q514" s="49"/>
      <c r="R514" s="49"/>
      <c r="S514" s="49">
        <v>461000</v>
      </c>
      <c r="T514" s="49"/>
      <c r="U514" s="49">
        <v>-876</v>
      </c>
      <c r="V514" s="49"/>
      <c r="W514" s="49">
        <f>59375-876+406418.32+29144.1+25425.49</f>
        <v>519486.91</v>
      </c>
      <c r="X514" s="40">
        <f t="shared" si="47"/>
        <v>12.090000000025611</v>
      </c>
    </row>
    <row r="515" spans="2:24" ht="15.75">
      <c r="B515" s="292"/>
      <c r="C515" s="292"/>
      <c r="D515" s="289"/>
      <c r="E515" s="89" t="s">
        <v>184</v>
      </c>
      <c r="F515" s="49"/>
      <c r="G515" s="18"/>
      <c r="H515" s="220"/>
      <c r="I515" s="255">
        <v>3110</v>
      </c>
      <c r="J515" s="49">
        <f>28600+20100+62595</f>
        <v>111295</v>
      </c>
      <c r="K515" s="49"/>
      <c r="L515" s="49"/>
      <c r="M515" s="49"/>
      <c r="N515" s="49"/>
      <c r="O515" s="49"/>
      <c r="P515" s="49"/>
      <c r="Q515" s="49"/>
      <c r="R515" s="49">
        <v>48700</v>
      </c>
      <c r="S515" s="49"/>
      <c r="T515" s="49"/>
      <c r="U515" s="49">
        <v>62595</v>
      </c>
      <c r="V515" s="49"/>
      <c r="W515" s="49">
        <f>45600+65600</f>
        <v>111200</v>
      </c>
      <c r="X515" s="40">
        <f t="shared" si="47"/>
        <v>95</v>
      </c>
    </row>
    <row r="516" spans="2:24" ht="15.75">
      <c r="B516" s="292"/>
      <c r="C516" s="292"/>
      <c r="D516" s="289"/>
      <c r="E516" s="89" t="s">
        <v>185</v>
      </c>
      <c r="F516" s="49"/>
      <c r="G516" s="18"/>
      <c r="H516" s="220"/>
      <c r="I516" s="255">
        <v>3110</v>
      </c>
      <c r="J516" s="49">
        <f>341110+70575-10565</f>
        <v>401120</v>
      </c>
      <c r="K516" s="49"/>
      <c r="L516" s="49"/>
      <c r="M516" s="49"/>
      <c r="N516" s="49"/>
      <c r="O516" s="49"/>
      <c r="P516" s="49"/>
      <c r="Q516" s="49"/>
      <c r="R516" s="49">
        <v>411685</v>
      </c>
      <c r="S516" s="49"/>
      <c r="T516" s="49"/>
      <c r="U516" s="49">
        <v>-10565</v>
      </c>
      <c r="V516" s="49"/>
      <c r="W516" s="49">
        <v>401120</v>
      </c>
      <c r="X516" s="40">
        <f t="shared" si="47"/>
        <v>0</v>
      </c>
    </row>
    <row r="517" spans="2:24" ht="15.75">
      <c r="B517" s="292"/>
      <c r="C517" s="292"/>
      <c r="D517" s="289"/>
      <c r="E517" s="89" t="s">
        <v>820</v>
      </c>
      <c r="F517" s="49"/>
      <c r="G517" s="18"/>
      <c r="H517" s="220"/>
      <c r="I517" s="255">
        <v>3110</v>
      </c>
      <c r="J517" s="49">
        <f>122148+30537+34065+4500</f>
        <v>191250</v>
      </c>
      <c r="K517" s="49"/>
      <c r="L517" s="49"/>
      <c r="M517" s="49"/>
      <c r="N517" s="49"/>
      <c r="O517" s="49"/>
      <c r="P517" s="49"/>
      <c r="Q517" s="49"/>
      <c r="R517" s="49">
        <v>152685</v>
      </c>
      <c r="S517" s="49"/>
      <c r="T517" s="49"/>
      <c r="U517" s="49">
        <v>34065</v>
      </c>
      <c r="V517" s="49">
        <v>4500</v>
      </c>
      <c r="W517" s="49">
        <f>149400+37350+4500</f>
        <v>191250</v>
      </c>
      <c r="X517" s="40">
        <f t="shared" si="47"/>
        <v>0</v>
      </c>
    </row>
    <row r="518" spans="2:24" ht="63">
      <c r="B518" s="292"/>
      <c r="C518" s="292"/>
      <c r="D518" s="289"/>
      <c r="E518" s="88" t="s">
        <v>861</v>
      </c>
      <c r="F518" s="40"/>
      <c r="G518" s="40"/>
      <c r="H518" s="225"/>
      <c r="I518" s="255">
        <v>3110</v>
      </c>
      <c r="J518" s="49">
        <v>274921.99</v>
      </c>
      <c r="K518" s="49"/>
      <c r="L518" s="49"/>
      <c r="M518" s="49"/>
      <c r="N518" s="49"/>
      <c r="O518" s="49"/>
      <c r="P518" s="49"/>
      <c r="Q518" s="49"/>
      <c r="R518" s="49"/>
      <c r="S518" s="49">
        <v>274921.99</v>
      </c>
      <c r="T518" s="49"/>
      <c r="U518" s="49"/>
      <c r="V518" s="49"/>
      <c r="W518" s="49">
        <f>269804.48+5117.51</f>
        <v>274921.99</v>
      </c>
      <c r="X518" s="40">
        <f t="shared" si="47"/>
        <v>0</v>
      </c>
    </row>
    <row r="519" spans="2:24" ht="15.75">
      <c r="B519" s="292"/>
      <c r="C519" s="292"/>
      <c r="D519" s="289"/>
      <c r="E519" s="88" t="s">
        <v>886</v>
      </c>
      <c r="F519" s="40"/>
      <c r="G519" s="40"/>
      <c r="H519" s="225"/>
      <c r="I519" s="255"/>
      <c r="J519" s="49">
        <f>SUM(J520:J524)</f>
        <v>70845</v>
      </c>
      <c r="K519" s="49">
        <f aca="true" t="shared" si="53" ref="K519:W519">SUM(K520:K524)</f>
        <v>0</v>
      </c>
      <c r="L519" s="49">
        <f t="shared" si="53"/>
        <v>0</v>
      </c>
      <c r="M519" s="49">
        <f t="shared" si="53"/>
        <v>0</v>
      </c>
      <c r="N519" s="49">
        <f t="shared" si="53"/>
        <v>0</v>
      </c>
      <c r="O519" s="49">
        <f t="shared" si="53"/>
        <v>0</v>
      </c>
      <c r="P519" s="49">
        <f t="shared" si="53"/>
        <v>0</v>
      </c>
      <c r="Q519" s="49">
        <f t="shared" si="53"/>
        <v>0</v>
      </c>
      <c r="R519" s="49">
        <f t="shared" si="53"/>
        <v>115361</v>
      </c>
      <c r="S519" s="49">
        <f t="shared" si="53"/>
        <v>0</v>
      </c>
      <c r="T519" s="49">
        <f t="shared" si="53"/>
        <v>0</v>
      </c>
      <c r="U519" s="49">
        <f t="shared" si="53"/>
        <v>-44516</v>
      </c>
      <c r="V519" s="49">
        <f t="shared" si="53"/>
        <v>0</v>
      </c>
      <c r="W519" s="49">
        <f t="shared" si="53"/>
        <v>69146</v>
      </c>
      <c r="X519" s="40">
        <f t="shared" si="47"/>
        <v>1699</v>
      </c>
    </row>
    <row r="520" spans="2:24" ht="31.5">
      <c r="B520" s="292"/>
      <c r="C520" s="292"/>
      <c r="D520" s="289"/>
      <c r="E520" s="97" t="s">
        <v>642</v>
      </c>
      <c r="F520" s="40"/>
      <c r="G520" s="40"/>
      <c r="H520" s="225"/>
      <c r="I520" s="255">
        <v>3110</v>
      </c>
      <c r="J520" s="49">
        <f>11310-65</f>
        <v>11245</v>
      </c>
      <c r="K520" s="49"/>
      <c r="L520" s="49"/>
      <c r="M520" s="49"/>
      <c r="N520" s="49"/>
      <c r="O520" s="49"/>
      <c r="P520" s="49"/>
      <c r="Q520" s="49"/>
      <c r="R520" s="49">
        <v>11310</v>
      </c>
      <c r="S520" s="49"/>
      <c r="T520" s="49"/>
      <c r="U520" s="49">
        <v>-65</v>
      </c>
      <c r="V520" s="49"/>
      <c r="W520" s="49">
        <v>11245</v>
      </c>
      <c r="X520" s="40">
        <f t="shared" si="47"/>
        <v>0</v>
      </c>
    </row>
    <row r="521" spans="2:24" ht="31.5">
      <c r="B521" s="292"/>
      <c r="C521" s="292"/>
      <c r="D521" s="289"/>
      <c r="E521" s="97" t="s">
        <v>643</v>
      </c>
      <c r="F521" s="40"/>
      <c r="G521" s="40"/>
      <c r="H521" s="225"/>
      <c r="I521" s="255">
        <v>3110</v>
      </c>
      <c r="J521" s="49">
        <f>18096+944</f>
        <v>19040</v>
      </c>
      <c r="K521" s="49"/>
      <c r="L521" s="49"/>
      <c r="M521" s="49"/>
      <c r="N521" s="49"/>
      <c r="O521" s="49"/>
      <c r="P521" s="49"/>
      <c r="Q521" s="49"/>
      <c r="R521" s="49">
        <v>18096</v>
      </c>
      <c r="S521" s="49"/>
      <c r="T521" s="49"/>
      <c r="U521" s="49">
        <v>944</v>
      </c>
      <c r="V521" s="49"/>
      <c r="W521" s="49">
        <v>18096</v>
      </c>
      <c r="X521" s="40">
        <f t="shared" si="47"/>
        <v>944</v>
      </c>
    </row>
    <row r="522" spans="2:24" ht="31.5">
      <c r="B522" s="292"/>
      <c r="C522" s="292"/>
      <c r="D522" s="289"/>
      <c r="E522" s="97" t="s">
        <v>627</v>
      </c>
      <c r="F522" s="40"/>
      <c r="G522" s="40"/>
      <c r="H522" s="225"/>
      <c r="I522" s="255">
        <v>3110</v>
      </c>
      <c r="J522" s="49">
        <f>50895-38895</f>
        <v>12000</v>
      </c>
      <c r="K522" s="49"/>
      <c r="L522" s="49"/>
      <c r="M522" s="49"/>
      <c r="N522" s="49"/>
      <c r="O522" s="49"/>
      <c r="P522" s="49"/>
      <c r="Q522" s="49"/>
      <c r="R522" s="49">
        <v>50895</v>
      </c>
      <c r="S522" s="49"/>
      <c r="T522" s="49"/>
      <c r="U522" s="49">
        <v>-38895</v>
      </c>
      <c r="V522" s="49"/>
      <c r="W522" s="49">
        <v>11245</v>
      </c>
      <c r="X522" s="40">
        <f t="shared" si="47"/>
        <v>755</v>
      </c>
    </row>
    <row r="523" spans="2:24" ht="31.5" hidden="1">
      <c r="B523" s="292"/>
      <c r="C523" s="292"/>
      <c r="D523" s="289"/>
      <c r="E523" s="97" t="s">
        <v>628</v>
      </c>
      <c r="F523" s="40"/>
      <c r="G523" s="40"/>
      <c r="H523" s="225"/>
      <c r="I523" s="255">
        <v>3110</v>
      </c>
      <c r="J523" s="49">
        <f>22620-22620</f>
        <v>0</v>
      </c>
      <c r="K523" s="49"/>
      <c r="L523" s="49"/>
      <c r="M523" s="49"/>
      <c r="N523" s="49"/>
      <c r="O523" s="49"/>
      <c r="P523" s="49"/>
      <c r="Q523" s="49"/>
      <c r="R523" s="49">
        <f>22620-22620</f>
        <v>0</v>
      </c>
      <c r="S523" s="49"/>
      <c r="T523" s="49"/>
      <c r="U523" s="49"/>
      <c r="V523" s="49"/>
      <c r="W523" s="49"/>
      <c r="X523" s="40">
        <f t="shared" si="47"/>
        <v>0</v>
      </c>
    </row>
    <row r="524" spans="2:24" ht="31.5">
      <c r="B524" s="292"/>
      <c r="C524" s="292"/>
      <c r="D524" s="289"/>
      <c r="E524" s="97" t="s">
        <v>629</v>
      </c>
      <c r="F524" s="40"/>
      <c r="G524" s="40"/>
      <c r="H524" s="225"/>
      <c r="I524" s="255">
        <v>3110</v>
      </c>
      <c r="J524" s="49">
        <f>35060-6500</f>
        <v>28560</v>
      </c>
      <c r="K524" s="49"/>
      <c r="L524" s="49"/>
      <c r="M524" s="49"/>
      <c r="N524" s="49"/>
      <c r="O524" s="49"/>
      <c r="P524" s="49"/>
      <c r="Q524" s="49"/>
      <c r="R524" s="49">
        <v>35060</v>
      </c>
      <c r="S524" s="49"/>
      <c r="T524" s="49"/>
      <c r="U524" s="49">
        <v>-6500</v>
      </c>
      <c r="V524" s="49"/>
      <c r="W524" s="49">
        <v>28560</v>
      </c>
      <c r="X524" s="40">
        <f t="shared" si="47"/>
        <v>0</v>
      </c>
    </row>
    <row r="525" spans="2:24" ht="39.75" customHeight="1">
      <c r="B525" s="292"/>
      <c r="C525" s="292"/>
      <c r="D525" s="289"/>
      <c r="E525" s="98" t="s">
        <v>815</v>
      </c>
      <c r="F525" s="40"/>
      <c r="G525" s="40"/>
      <c r="H525" s="225"/>
      <c r="I525" s="255">
        <v>3110</v>
      </c>
      <c r="J525" s="49">
        <f>22620-3908</f>
        <v>18712</v>
      </c>
      <c r="K525" s="49"/>
      <c r="L525" s="49"/>
      <c r="M525" s="49"/>
      <c r="N525" s="49"/>
      <c r="O525" s="49"/>
      <c r="P525" s="49"/>
      <c r="Q525" s="49"/>
      <c r="R525" s="49">
        <f>22620</f>
        <v>22620</v>
      </c>
      <c r="S525" s="49"/>
      <c r="T525" s="49"/>
      <c r="U525" s="49">
        <v>-3908</v>
      </c>
      <c r="V525" s="49"/>
      <c r="W525" s="49">
        <v>18712</v>
      </c>
      <c r="X525" s="40">
        <f t="shared" si="47"/>
        <v>0</v>
      </c>
    </row>
    <row r="526" spans="2:24" ht="78.75">
      <c r="B526" s="292"/>
      <c r="C526" s="292"/>
      <c r="D526" s="289"/>
      <c r="E526" s="98" t="s">
        <v>630</v>
      </c>
      <c r="F526" s="9">
        <v>3910112.07</v>
      </c>
      <c r="G526" s="18">
        <f>100%-((F526-H526)/F526)</f>
        <v>0.5621440922024518</v>
      </c>
      <c r="H526" s="220">
        <v>2198046.3999999994</v>
      </c>
      <c r="I526" s="255">
        <v>3132</v>
      </c>
      <c r="J526" s="49">
        <f>2198046.4-1033480+115800</f>
        <v>1280366.4</v>
      </c>
      <c r="K526" s="49"/>
      <c r="L526" s="49"/>
      <c r="M526" s="49"/>
      <c r="N526" s="49"/>
      <c r="O526" s="49"/>
      <c r="P526" s="49"/>
      <c r="Q526" s="49">
        <v>50000</v>
      </c>
      <c r="R526" s="49">
        <v>700000</v>
      </c>
      <c r="S526" s="49">
        <v>700000</v>
      </c>
      <c r="T526" s="49">
        <v>748046.4</v>
      </c>
      <c r="U526" s="49">
        <v>-1033480</v>
      </c>
      <c r="V526" s="49">
        <v>115800</v>
      </c>
      <c r="W526" s="49">
        <f>129559.67+52305.93+2765.45+18141+227149.55+734644.8</f>
        <v>1164566.4</v>
      </c>
      <c r="X526" s="40">
        <f t="shared" si="47"/>
        <v>115800</v>
      </c>
    </row>
    <row r="527" spans="2:24" ht="36.75" customHeight="1">
      <c r="B527" s="292"/>
      <c r="C527" s="292"/>
      <c r="D527" s="289"/>
      <c r="E527" s="327" t="s">
        <v>742</v>
      </c>
      <c r="F527" s="9"/>
      <c r="G527" s="18"/>
      <c r="H527" s="220"/>
      <c r="I527" s="255">
        <v>3132</v>
      </c>
      <c r="J527" s="49">
        <f>143955.6+4761+3175.4</f>
        <v>151892</v>
      </c>
      <c r="K527" s="49"/>
      <c r="L527" s="49"/>
      <c r="M527" s="49"/>
      <c r="N527" s="49"/>
      <c r="O527" s="49"/>
      <c r="P527" s="49"/>
      <c r="Q527" s="49"/>
      <c r="R527" s="49">
        <v>143955.6</v>
      </c>
      <c r="S527" s="49"/>
      <c r="T527" s="49"/>
      <c r="U527" s="49">
        <v>4761</v>
      </c>
      <c r="V527" s="49">
        <v>3175.4</v>
      </c>
      <c r="W527" s="49">
        <f>143955.6-143955.6+688.8+4118.85+134208.55</f>
        <v>139016.19999999998</v>
      </c>
      <c r="X527" s="40">
        <f t="shared" si="47"/>
        <v>12875.800000000017</v>
      </c>
    </row>
    <row r="528" spans="2:24" ht="31.5" customHeight="1">
      <c r="B528" s="292"/>
      <c r="C528" s="292"/>
      <c r="D528" s="289"/>
      <c r="E528" s="328"/>
      <c r="F528" s="9">
        <v>1160942.96</v>
      </c>
      <c r="G528" s="18">
        <f>100%-((F528-H528)/F528)</f>
        <v>0.1308350239705145</v>
      </c>
      <c r="H528" s="220">
        <v>151892</v>
      </c>
      <c r="I528" s="255">
        <v>3210</v>
      </c>
      <c r="J528" s="49">
        <f>151892-143955.6</f>
        <v>7936.399999999994</v>
      </c>
      <c r="K528" s="49"/>
      <c r="L528" s="49"/>
      <c r="M528" s="49"/>
      <c r="N528" s="49"/>
      <c r="O528" s="49">
        <v>151892</v>
      </c>
      <c r="P528" s="49"/>
      <c r="Q528" s="49"/>
      <c r="R528" s="49">
        <f>-143955.6</f>
        <v>-143955.6</v>
      </c>
      <c r="S528" s="49"/>
      <c r="T528" s="49"/>
      <c r="U528" s="49"/>
      <c r="V528" s="49"/>
      <c r="W528" s="49">
        <v>7936.4</v>
      </c>
      <c r="X528" s="40">
        <f t="shared" si="47"/>
        <v>0</v>
      </c>
    </row>
    <row r="529" spans="2:24" ht="63">
      <c r="B529" s="292"/>
      <c r="C529" s="292"/>
      <c r="D529" s="289"/>
      <c r="E529" s="88" t="s">
        <v>613</v>
      </c>
      <c r="F529" s="9">
        <v>500000</v>
      </c>
      <c r="G529" s="18">
        <f>100%-((F529-H529)/F529)</f>
        <v>1</v>
      </c>
      <c r="H529" s="220">
        <v>500000</v>
      </c>
      <c r="I529" s="255">
        <v>3132</v>
      </c>
      <c r="J529" s="49">
        <f>500000-3034.3</f>
        <v>496965.7</v>
      </c>
      <c r="K529" s="49"/>
      <c r="L529" s="49"/>
      <c r="M529" s="49"/>
      <c r="N529" s="49"/>
      <c r="O529" s="49"/>
      <c r="P529" s="49">
        <v>200000</v>
      </c>
      <c r="Q529" s="49">
        <v>300000</v>
      </c>
      <c r="R529" s="49"/>
      <c r="S529" s="49"/>
      <c r="T529" s="49"/>
      <c r="U529" s="49">
        <v>-3034.3</v>
      </c>
      <c r="V529" s="49"/>
      <c r="W529" s="49">
        <f>9067.21+143694+343829</f>
        <v>496590.20999999996</v>
      </c>
      <c r="X529" s="40">
        <f t="shared" si="47"/>
        <v>375.4900000000489</v>
      </c>
    </row>
    <row r="530" spans="2:24" ht="47.25">
      <c r="B530" s="292"/>
      <c r="C530" s="292"/>
      <c r="D530" s="289"/>
      <c r="E530" s="88" t="s">
        <v>707</v>
      </c>
      <c r="F530" s="9"/>
      <c r="G530" s="18"/>
      <c r="H530" s="220"/>
      <c r="I530" s="255">
        <v>3132</v>
      </c>
      <c r="J530" s="49">
        <f>1009120+34012</f>
        <v>1043132</v>
      </c>
      <c r="K530" s="49"/>
      <c r="L530" s="49"/>
      <c r="M530" s="49"/>
      <c r="N530" s="49"/>
      <c r="O530" s="49"/>
      <c r="P530" s="49"/>
      <c r="Q530" s="49"/>
      <c r="R530" s="49"/>
      <c r="S530" s="49">
        <v>1009120</v>
      </c>
      <c r="T530" s="49"/>
      <c r="U530" s="49"/>
      <c r="V530" s="49">
        <v>34012</v>
      </c>
      <c r="W530" s="49">
        <f>329771+713361</f>
        <v>1043132</v>
      </c>
      <c r="X530" s="40">
        <f t="shared" si="47"/>
        <v>0</v>
      </c>
    </row>
    <row r="531" spans="2:24" ht="78.75">
      <c r="B531" s="293"/>
      <c r="C531" s="293"/>
      <c r="D531" s="290"/>
      <c r="E531" s="88" t="s">
        <v>641</v>
      </c>
      <c r="F531" s="49">
        <v>115355</v>
      </c>
      <c r="G531" s="18">
        <f>100%-((F531-H531)/F531)</f>
        <v>1</v>
      </c>
      <c r="H531" s="220">
        <v>115355</v>
      </c>
      <c r="I531" s="255">
        <v>3210</v>
      </c>
      <c r="J531" s="49">
        <f>115355-1167.16</f>
        <v>114187.84</v>
      </c>
      <c r="K531" s="49"/>
      <c r="L531" s="49"/>
      <c r="M531" s="49"/>
      <c r="N531" s="49"/>
      <c r="O531" s="49">
        <v>115355</v>
      </c>
      <c r="P531" s="49"/>
      <c r="Q531" s="49"/>
      <c r="R531" s="49">
        <v>-1167.16</v>
      </c>
      <c r="S531" s="49"/>
      <c r="T531" s="49"/>
      <c r="U531" s="49"/>
      <c r="V531" s="49"/>
      <c r="W531" s="49">
        <v>114187.84</v>
      </c>
      <c r="X531" s="40">
        <f t="shared" si="47"/>
        <v>0</v>
      </c>
    </row>
    <row r="532" spans="2:24" ht="15.75" customHeight="1">
      <c r="B532" s="291" t="s">
        <v>492</v>
      </c>
      <c r="C532" s="291" t="s">
        <v>565</v>
      </c>
      <c r="D532" s="288" t="s">
        <v>564</v>
      </c>
      <c r="E532" s="25"/>
      <c r="F532" s="76"/>
      <c r="G532" s="99"/>
      <c r="H532" s="224"/>
      <c r="I532" s="255"/>
      <c r="J532" s="210">
        <f>J533+J535</f>
        <v>54962</v>
      </c>
      <c r="K532" s="210">
        <f aca="true" t="shared" si="54" ref="K532:W532">K533+K535</f>
        <v>0</v>
      </c>
      <c r="L532" s="210">
        <f t="shared" si="54"/>
        <v>4962</v>
      </c>
      <c r="M532" s="210">
        <f t="shared" si="54"/>
        <v>0</v>
      </c>
      <c r="N532" s="210">
        <f t="shared" si="54"/>
        <v>0</v>
      </c>
      <c r="O532" s="210">
        <f t="shared" si="54"/>
        <v>0</v>
      </c>
      <c r="P532" s="210">
        <f t="shared" si="54"/>
        <v>0</v>
      </c>
      <c r="Q532" s="210">
        <f t="shared" si="54"/>
        <v>0</v>
      </c>
      <c r="R532" s="210">
        <f t="shared" si="54"/>
        <v>0</v>
      </c>
      <c r="S532" s="210">
        <f t="shared" si="54"/>
        <v>50000</v>
      </c>
      <c r="T532" s="210">
        <f t="shared" si="54"/>
        <v>0</v>
      </c>
      <c r="U532" s="210">
        <f t="shared" si="54"/>
        <v>0</v>
      </c>
      <c r="V532" s="210">
        <f t="shared" si="54"/>
        <v>0</v>
      </c>
      <c r="W532" s="210">
        <f t="shared" si="54"/>
        <v>54962</v>
      </c>
      <c r="X532" s="184">
        <f t="shared" si="47"/>
        <v>0</v>
      </c>
    </row>
    <row r="533" spans="2:24" ht="63">
      <c r="B533" s="292"/>
      <c r="C533" s="292"/>
      <c r="D533" s="289"/>
      <c r="E533" s="10" t="s">
        <v>448</v>
      </c>
      <c r="F533" s="76"/>
      <c r="G533" s="99"/>
      <c r="H533" s="224"/>
      <c r="I533" s="255"/>
      <c r="J533" s="21">
        <f>J534</f>
        <v>4962</v>
      </c>
      <c r="K533" s="49"/>
      <c r="L533" s="21">
        <f>L534</f>
        <v>4962</v>
      </c>
      <c r="M533" s="49"/>
      <c r="N533" s="49"/>
      <c r="O533" s="49"/>
      <c r="P533" s="49"/>
      <c r="Q533" s="49"/>
      <c r="R533" s="49"/>
      <c r="S533" s="49"/>
      <c r="T533" s="49"/>
      <c r="U533" s="49"/>
      <c r="V533" s="49"/>
      <c r="W533" s="49">
        <f>W534</f>
        <v>4962</v>
      </c>
      <c r="X533" s="40">
        <f t="shared" si="47"/>
        <v>0</v>
      </c>
    </row>
    <row r="534" spans="2:24" ht="31.5">
      <c r="B534" s="292"/>
      <c r="C534" s="292"/>
      <c r="D534" s="289"/>
      <c r="E534" s="11" t="s">
        <v>952</v>
      </c>
      <c r="F534" s="76"/>
      <c r="G534" s="99"/>
      <c r="H534" s="224"/>
      <c r="I534" s="255">
        <v>3110</v>
      </c>
      <c r="J534" s="9">
        <v>4962</v>
      </c>
      <c r="K534" s="49"/>
      <c r="L534" s="9">
        <v>4962</v>
      </c>
      <c r="M534" s="49"/>
      <c r="N534" s="49"/>
      <c r="O534" s="49"/>
      <c r="P534" s="49"/>
      <c r="Q534" s="49"/>
      <c r="R534" s="49"/>
      <c r="S534" s="49"/>
      <c r="T534" s="49"/>
      <c r="U534" s="49"/>
      <c r="V534" s="49"/>
      <c r="W534" s="49">
        <v>4962</v>
      </c>
      <c r="X534" s="40">
        <f t="shared" si="47"/>
        <v>0</v>
      </c>
    </row>
    <row r="535" spans="2:24" ht="47.25">
      <c r="B535" s="292"/>
      <c r="C535" s="292"/>
      <c r="D535" s="289"/>
      <c r="E535" s="10" t="s">
        <v>708</v>
      </c>
      <c r="F535" s="76"/>
      <c r="G535" s="99"/>
      <c r="H535" s="224"/>
      <c r="I535" s="255"/>
      <c r="J535" s="9">
        <f>J536</f>
        <v>50000</v>
      </c>
      <c r="K535" s="9">
        <f aca="true" t="shared" si="55" ref="K535:W535">K536</f>
        <v>0</v>
      </c>
      <c r="L535" s="9">
        <f t="shared" si="55"/>
        <v>0</v>
      </c>
      <c r="M535" s="9">
        <f t="shared" si="55"/>
        <v>0</v>
      </c>
      <c r="N535" s="9">
        <f t="shared" si="55"/>
        <v>0</v>
      </c>
      <c r="O535" s="9">
        <f t="shared" si="55"/>
        <v>0</v>
      </c>
      <c r="P535" s="9">
        <f t="shared" si="55"/>
        <v>0</v>
      </c>
      <c r="Q535" s="9">
        <f t="shared" si="55"/>
        <v>0</v>
      </c>
      <c r="R535" s="9">
        <f t="shared" si="55"/>
        <v>0</v>
      </c>
      <c r="S535" s="9">
        <f t="shared" si="55"/>
        <v>50000</v>
      </c>
      <c r="T535" s="9">
        <f t="shared" si="55"/>
        <v>0</v>
      </c>
      <c r="U535" s="9">
        <f t="shared" si="55"/>
        <v>0</v>
      </c>
      <c r="V535" s="9">
        <f t="shared" si="55"/>
        <v>0</v>
      </c>
      <c r="W535" s="9">
        <f t="shared" si="55"/>
        <v>50000</v>
      </c>
      <c r="X535" s="40">
        <f aca="true" t="shared" si="56" ref="X535:X598">J535-W535</f>
        <v>0</v>
      </c>
    </row>
    <row r="536" spans="2:24" ht="15.75">
      <c r="B536" s="293"/>
      <c r="C536" s="293"/>
      <c r="D536" s="290"/>
      <c r="E536" s="11" t="s">
        <v>709</v>
      </c>
      <c r="F536" s="76"/>
      <c r="G536" s="99"/>
      <c r="H536" s="224"/>
      <c r="I536" s="255">
        <v>3110</v>
      </c>
      <c r="J536" s="9">
        <v>50000</v>
      </c>
      <c r="K536" s="49"/>
      <c r="L536" s="9"/>
      <c r="M536" s="49"/>
      <c r="N536" s="49"/>
      <c r="O536" s="49"/>
      <c r="P536" s="49"/>
      <c r="Q536" s="49"/>
      <c r="R536" s="49"/>
      <c r="S536" s="49">
        <v>50000</v>
      </c>
      <c r="T536" s="49"/>
      <c r="U536" s="49"/>
      <c r="V536" s="49"/>
      <c r="W536" s="49">
        <v>50000</v>
      </c>
      <c r="X536" s="40">
        <f t="shared" si="56"/>
        <v>0</v>
      </c>
    </row>
    <row r="537" spans="2:24" ht="15.75">
      <c r="B537" s="291" t="s">
        <v>566</v>
      </c>
      <c r="C537" s="291" t="s">
        <v>555</v>
      </c>
      <c r="D537" s="288" t="s">
        <v>429</v>
      </c>
      <c r="E537" s="25"/>
      <c r="F537" s="76"/>
      <c r="G537" s="99"/>
      <c r="H537" s="224"/>
      <c r="I537" s="255"/>
      <c r="J537" s="210">
        <f>J538+J541+J539+J540</f>
        <v>2186532.9</v>
      </c>
      <c r="K537" s="210">
        <f aca="true" t="shared" si="57" ref="K537:W537">K538+K541+K539+K540</f>
        <v>0</v>
      </c>
      <c r="L537" s="210">
        <f t="shared" si="57"/>
        <v>102744.1</v>
      </c>
      <c r="M537" s="210">
        <f t="shared" si="57"/>
        <v>0</v>
      </c>
      <c r="N537" s="210">
        <f t="shared" si="57"/>
        <v>0</v>
      </c>
      <c r="O537" s="210">
        <f t="shared" si="57"/>
        <v>6500</v>
      </c>
      <c r="P537" s="210">
        <f t="shared" si="57"/>
        <v>81794</v>
      </c>
      <c r="Q537" s="210">
        <f t="shared" si="57"/>
        <v>260000</v>
      </c>
      <c r="R537" s="210">
        <f t="shared" si="57"/>
        <v>660142</v>
      </c>
      <c r="S537" s="210">
        <f t="shared" si="57"/>
        <v>111810</v>
      </c>
      <c r="T537" s="210">
        <f t="shared" si="57"/>
        <v>0</v>
      </c>
      <c r="U537" s="210">
        <f t="shared" si="57"/>
        <v>1033480</v>
      </c>
      <c r="V537" s="210">
        <f t="shared" si="57"/>
        <v>-69937.2</v>
      </c>
      <c r="W537" s="210">
        <f t="shared" si="57"/>
        <v>2171576.49</v>
      </c>
      <c r="X537" s="184">
        <f t="shared" si="56"/>
        <v>14956.409999999683</v>
      </c>
    </row>
    <row r="538" spans="2:24" ht="110.25">
      <c r="B538" s="292"/>
      <c r="C538" s="292"/>
      <c r="D538" s="289"/>
      <c r="E538" s="24" t="s">
        <v>430</v>
      </c>
      <c r="F538" s="76">
        <v>754832.73</v>
      </c>
      <c r="G538" s="18">
        <f>100%-((F538-H538)/F538)</f>
        <v>0.3108529753340187</v>
      </c>
      <c r="H538" s="224">
        <v>234642</v>
      </c>
      <c r="I538" s="255">
        <v>3142</v>
      </c>
      <c r="J538" s="9">
        <v>102744.1</v>
      </c>
      <c r="K538" s="49"/>
      <c r="L538" s="9">
        <v>102744.1</v>
      </c>
      <c r="M538" s="49"/>
      <c r="N538" s="49"/>
      <c r="O538" s="49"/>
      <c r="P538" s="49"/>
      <c r="Q538" s="49"/>
      <c r="R538" s="49"/>
      <c r="S538" s="49"/>
      <c r="T538" s="49"/>
      <c r="U538" s="49"/>
      <c r="V538" s="49"/>
      <c r="W538" s="49">
        <v>102744.1</v>
      </c>
      <c r="X538" s="40">
        <f t="shared" si="56"/>
        <v>0</v>
      </c>
    </row>
    <row r="539" spans="2:24" ht="47.25">
      <c r="B539" s="292"/>
      <c r="C539" s="292"/>
      <c r="D539" s="289"/>
      <c r="E539" s="24" t="s">
        <v>45</v>
      </c>
      <c r="F539" s="76"/>
      <c r="G539" s="18"/>
      <c r="H539" s="224"/>
      <c r="I539" s="255">
        <v>3142</v>
      </c>
      <c r="J539" s="9">
        <v>955000</v>
      </c>
      <c r="K539" s="49"/>
      <c r="L539" s="9"/>
      <c r="M539" s="49"/>
      <c r="N539" s="49"/>
      <c r="O539" s="49"/>
      <c r="P539" s="49">
        <v>83190</v>
      </c>
      <c r="Q539" s="49">
        <v>260000</v>
      </c>
      <c r="R539" s="49">
        <v>500000</v>
      </c>
      <c r="S539" s="49">
        <v>111810</v>
      </c>
      <c r="T539" s="49"/>
      <c r="U539" s="49"/>
      <c r="V539" s="49"/>
      <c r="W539" s="49">
        <f>13186.06+30767.46+264852.6+210839.14+184504.12+183760.43+52133.78</f>
        <v>940043.5900000001</v>
      </c>
      <c r="X539" s="40">
        <f t="shared" si="56"/>
        <v>14956.409999999916</v>
      </c>
    </row>
    <row r="540" spans="2:24" ht="63">
      <c r="B540" s="292"/>
      <c r="C540" s="292"/>
      <c r="D540" s="289"/>
      <c r="E540" s="24" t="s">
        <v>768</v>
      </c>
      <c r="F540" s="76"/>
      <c r="G540" s="18"/>
      <c r="H540" s="224"/>
      <c r="I540" s="255">
        <v>3142</v>
      </c>
      <c r="J540" s="9">
        <v>1033480</v>
      </c>
      <c r="K540" s="49"/>
      <c r="L540" s="9"/>
      <c r="M540" s="49"/>
      <c r="N540" s="49"/>
      <c r="O540" s="49"/>
      <c r="P540" s="49"/>
      <c r="Q540" s="49"/>
      <c r="R540" s="49"/>
      <c r="S540" s="49"/>
      <c r="T540" s="49"/>
      <c r="U540" s="49">
        <v>1033480</v>
      </c>
      <c r="V540" s="49"/>
      <c r="W540" s="49">
        <f>699673.8+333806.2</f>
        <v>1033480</v>
      </c>
      <c r="X540" s="40">
        <f t="shared" si="56"/>
        <v>0</v>
      </c>
    </row>
    <row r="541" spans="2:24" ht="94.5">
      <c r="B541" s="293"/>
      <c r="C541" s="293"/>
      <c r="D541" s="290"/>
      <c r="E541" s="95" t="s">
        <v>222</v>
      </c>
      <c r="F541" s="76">
        <v>754832.73</v>
      </c>
      <c r="G541" s="18">
        <f>100%-((F541-H541)/F541)</f>
        <v>0.3108529753340187</v>
      </c>
      <c r="H541" s="224">
        <v>234642</v>
      </c>
      <c r="I541" s="255">
        <v>3142</v>
      </c>
      <c r="J541" s="49">
        <f>234642-69396-41687.4-28249.8</f>
        <v>95308.8</v>
      </c>
      <c r="K541" s="49"/>
      <c r="L541" s="49"/>
      <c r="M541" s="49"/>
      <c r="N541" s="49"/>
      <c r="O541" s="49">
        <v>6500</v>
      </c>
      <c r="P541" s="49">
        <f>68000-69396</f>
        <v>-1396</v>
      </c>
      <c r="Q541" s="49"/>
      <c r="R541" s="49">
        <v>160142</v>
      </c>
      <c r="S541" s="49"/>
      <c r="T541" s="49"/>
      <c r="U541" s="49"/>
      <c r="V541" s="49">
        <f>-41687.4-28249.8</f>
        <v>-69937.2</v>
      </c>
      <c r="W541" s="49">
        <f>1848+93460.8</f>
        <v>95308.8</v>
      </c>
      <c r="X541" s="40">
        <f t="shared" si="56"/>
        <v>0</v>
      </c>
    </row>
    <row r="542" spans="2:24" ht="15.75">
      <c r="B542" s="194"/>
      <c r="C542" s="195"/>
      <c r="D542" s="294" t="s">
        <v>632</v>
      </c>
      <c r="E542" s="295"/>
      <c r="F542" s="100"/>
      <c r="G542" s="101"/>
      <c r="H542" s="223"/>
      <c r="I542" s="254"/>
      <c r="J542" s="43">
        <f>J552+J550+J543</f>
        <v>1482218.4</v>
      </c>
      <c r="K542" s="43">
        <f aca="true" t="shared" si="58" ref="K542:W542">K552+K550+K543</f>
        <v>0</v>
      </c>
      <c r="L542" s="43">
        <f t="shared" si="58"/>
        <v>85683.4</v>
      </c>
      <c r="M542" s="43">
        <f t="shared" si="58"/>
        <v>0</v>
      </c>
      <c r="N542" s="43">
        <f t="shared" si="58"/>
        <v>4000</v>
      </c>
      <c r="O542" s="43">
        <f t="shared" si="58"/>
        <v>183800</v>
      </c>
      <c r="P542" s="43">
        <f t="shared" si="58"/>
        <v>350000</v>
      </c>
      <c r="Q542" s="43">
        <f t="shared" si="58"/>
        <v>350000</v>
      </c>
      <c r="R542" s="43">
        <f t="shared" si="58"/>
        <v>957500</v>
      </c>
      <c r="S542" s="43">
        <f t="shared" si="58"/>
        <v>69450</v>
      </c>
      <c r="T542" s="43">
        <f t="shared" si="58"/>
        <v>0</v>
      </c>
      <c r="U542" s="43">
        <f t="shared" si="58"/>
        <v>-10513</v>
      </c>
      <c r="V542" s="43">
        <f t="shared" si="58"/>
        <v>-507702</v>
      </c>
      <c r="W542" s="43">
        <f t="shared" si="58"/>
        <v>1478919.4000000001</v>
      </c>
      <c r="X542" s="60">
        <f t="shared" si="56"/>
        <v>3298.999999999767</v>
      </c>
    </row>
    <row r="543" spans="2:24" ht="15.75">
      <c r="B543" s="302" t="s">
        <v>292</v>
      </c>
      <c r="C543" s="322" t="s">
        <v>290</v>
      </c>
      <c r="D543" s="288" t="s">
        <v>328</v>
      </c>
      <c r="E543" s="94"/>
      <c r="F543" s="76"/>
      <c r="G543" s="99"/>
      <c r="H543" s="224"/>
      <c r="I543" s="255"/>
      <c r="J543" s="211">
        <f>SUM(J544:J549)</f>
        <v>235298</v>
      </c>
      <c r="K543" s="211">
        <f aca="true" t="shared" si="59" ref="K543:W543">SUM(K544:K549)</f>
        <v>0</v>
      </c>
      <c r="L543" s="211">
        <f t="shared" si="59"/>
        <v>0</v>
      </c>
      <c r="M543" s="211">
        <f t="shared" si="59"/>
        <v>0</v>
      </c>
      <c r="N543" s="211">
        <f t="shared" si="59"/>
        <v>0</v>
      </c>
      <c r="O543" s="211">
        <f t="shared" si="59"/>
        <v>85500</v>
      </c>
      <c r="P543" s="211">
        <f t="shared" si="59"/>
        <v>0</v>
      </c>
      <c r="Q543" s="211">
        <f t="shared" si="59"/>
        <v>0</v>
      </c>
      <c r="R543" s="211">
        <f t="shared" si="59"/>
        <v>657500</v>
      </c>
      <c r="S543" s="211">
        <f t="shared" si="59"/>
        <v>0</v>
      </c>
      <c r="T543" s="211">
        <f t="shared" si="59"/>
        <v>0</v>
      </c>
      <c r="U543" s="211">
        <f t="shared" si="59"/>
        <v>0</v>
      </c>
      <c r="V543" s="211">
        <f t="shared" si="59"/>
        <v>-507702</v>
      </c>
      <c r="W543" s="211">
        <f t="shared" si="59"/>
        <v>234397.6</v>
      </c>
      <c r="X543" s="184">
        <f t="shared" si="56"/>
        <v>900.3999999999942</v>
      </c>
    </row>
    <row r="544" spans="2:24" ht="63">
      <c r="B544" s="308"/>
      <c r="C544" s="324"/>
      <c r="D544" s="289"/>
      <c r="E544" s="94" t="s">
        <v>705</v>
      </c>
      <c r="F544" s="76"/>
      <c r="G544" s="99"/>
      <c r="H544" s="224"/>
      <c r="I544" s="255">
        <v>3110</v>
      </c>
      <c r="J544" s="76">
        <f>204100-100200</f>
        <v>103900</v>
      </c>
      <c r="K544" s="49"/>
      <c r="L544" s="49"/>
      <c r="M544" s="49"/>
      <c r="N544" s="49"/>
      <c r="O544" s="49"/>
      <c r="P544" s="49"/>
      <c r="Q544" s="49"/>
      <c r="R544" s="49">
        <v>204100</v>
      </c>
      <c r="S544" s="49"/>
      <c r="T544" s="49"/>
      <c r="U544" s="49"/>
      <c r="V544" s="49">
        <v>-100200</v>
      </c>
      <c r="W544" s="49">
        <v>102999.6</v>
      </c>
      <c r="X544" s="40">
        <f t="shared" si="56"/>
        <v>900.3999999999942</v>
      </c>
    </row>
    <row r="545" spans="2:24" ht="63">
      <c r="B545" s="308"/>
      <c r="C545" s="324"/>
      <c r="D545" s="289"/>
      <c r="E545" s="94" t="s">
        <v>55</v>
      </c>
      <c r="F545" s="76"/>
      <c r="G545" s="99"/>
      <c r="H545" s="224"/>
      <c r="I545" s="255">
        <v>3110</v>
      </c>
      <c r="J545" s="76">
        <f>134400-95400</f>
        <v>39000</v>
      </c>
      <c r="K545" s="49"/>
      <c r="L545" s="49"/>
      <c r="M545" s="49"/>
      <c r="N545" s="49"/>
      <c r="O545" s="49"/>
      <c r="P545" s="49"/>
      <c r="Q545" s="49"/>
      <c r="R545" s="49">
        <v>134400</v>
      </c>
      <c r="S545" s="49"/>
      <c r="T545" s="49"/>
      <c r="U545" s="49"/>
      <c r="V545" s="49">
        <v>-95400</v>
      </c>
      <c r="W545" s="49">
        <v>39000</v>
      </c>
      <c r="X545" s="40">
        <f t="shared" si="56"/>
        <v>0</v>
      </c>
    </row>
    <row r="546" spans="2:24" ht="157.5" hidden="1">
      <c r="B546" s="308"/>
      <c r="C546" s="324"/>
      <c r="D546" s="289"/>
      <c r="E546" s="94" t="s">
        <v>175</v>
      </c>
      <c r="F546" s="76"/>
      <c r="G546" s="99"/>
      <c r="H546" s="224"/>
      <c r="I546" s="255">
        <v>3110</v>
      </c>
      <c r="J546" s="76">
        <f>290000-290000</f>
        <v>0</v>
      </c>
      <c r="K546" s="49"/>
      <c r="L546" s="49"/>
      <c r="M546" s="49"/>
      <c r="N546" s="49"/>
      <c r="O546" s="49"/>
      <c r="P546" s="49"/>
      <c r="Q546" s="49"/>
      <c r="R546" s="49">
        <v>290000</v>
      </c>
      <c r="S546" s="49"/>
      <c r="T546" s="49"/>
      <c r="U546" s="49"/>
      <c r="V546" s="49">
        <v>-290000</v>
      </c>
      <c r="W546" s="49"/>
      <c r="X546" s="40">
        <f t="shared" si="56"/>
        <v>0</v>
      </c>
    </row>
    <row r="547" spans="2:24" ht="94.5">
      <c r="B547" s="308"/>
      <c r="C547" s="324"/>
      <c r="D547" s="289"/>
      <c r="E547" s="94" t="s">
        <v>587</v>
      </c>
      <c r="F547" s="76"/>
      <c r="G547" s="99"/>
      <c r="H547" s="224"/>
      <c r="I547" s="255">
        <v>3110</v>
      </c>
      <c r="J547" s="76">
        <f>29000-22102</f>
        <v>6898</v>
      </c>
      <c r="K547" s="49"/>
      <c r="L547" s="49"/>
      <c r="M547" s="49"/>
      <c r="N547" s="49"/>
      <c r="O547" s="49"/>
      <c r="P547" s="49"/>
      <c r="Q547" s="49"/>
      <c r="R547" s="49">
        <v>29000</v>
      </c>
      <c r="S547" s="49"/>
      <c r="T547" s="49"/>
      <c r="U547" s="49"/>
      <c r="V547" s="49">
        <v>-22102</v>
      </c>
      <c r="W547" s="49">
        <v>6898</v>
      </c>
      <c r="X547" s="40">
        <f t="shared" si="56"/>
        <v>0</v>
      </c>
    </row>
    <row r="548" spans="2:24" ht="47.25">
      <c r="B548" s="308"/>
      <c r="C548" s="324"/>
      <c r="D548" s="289"/>
      <c r="E548" s="94" t="s">
        <v>588</v>
      </c>
      <c r="F548" s="76"/>
      <c r="G548" s="99"/>
      <c r="H548" s="224"/>
      <c r="I548" s="255">
        <v>3110</v>
      </c>
      <c r="J548" s="76">
        <v>45000</v>
      </c>
      <c r="K548" s="49"/>
      <c r="L548" s="49"/>
      <c r="M548" s="49"/>
      <c r="N548" s="49"/>
      <c r="O548" s="49">
        <v>45000</v>
      </c>
      <c r="P548" s="49"/>
      <c r="Q548" s="49"/>
      <c r="R548" s="49"/>
      <c r="S548" s="49"/>
      <c r="T548" s="49"/>
      <c r="U548" s="49"/>
      <c r="V548" s="49"/>
      <c r="W548" s="49">
        <f>25100+19900</f>
        <v>45000</v>
      </c>
      <c r="X548" s="40">
        <f t="shared" si="56"/>
        <v>0</v>
      </c>
    </row>
    <row r="549" spans="2:24" ht="47.25">
      <c r="B549" s="303"/>
      <c r="C549" s="323"/>
      <c r="D549" s="290"/>
      <c r="E549" s="94" t="s">
        <v>589</v>
      </c>
      <c r="F549" s="76"/>
      <c r="G549" s="99"/>
      <c r="H549" s="224"/>
      <c r="I549" s="255">
        <v>3110</v>
      </c>
      <c r="J549" s="76">
        <v>40500</v>
      </c>
      <c r="K549" s="49"/>
      <c r="L549" s="49"/>
      <c r="M549" s="49"/>
      <c r="N549" s="49"/>
      <c r="O549" s="49">
        <v>40500</v>
      </c>
      <c r="P549" s="49"/>
      <c r="Q549" s="49"/>
      <c r="R549" s="49"/>
      <c r="S549" s="49"/>
      <c r="T549" s="49"/>
      <c r="U549" s="49"/>
      <c r="V549" s="49"/>
      <c r="W549" s="49">
        <f>40500</f>
        <v>40500</v>
      </c>
      <c r="X549" s="40">
        <f t="shared" si="56"/>
        <v>0</v>
      </c>
    </row>
    <row r="550" spans="2:24" ht="15.75">
      <c r="B550" s="302" t="s">
        <v>274</v>
      </c>
      <c r="C550" s="302" t="s">
        <v>289</v>
      </c>
      <c r="D550" s="288" t="s">
        <v>273</v>
      </c>
      <c r="E550" s="94"/>
      <c r="F550" s="76"/>
      <c r="G550" s="99"/>
      <c r="H550" s="224"/>
      <c r="I550" s="255"/>
      <c r="J550" s="211">
        <f>J551</f>
        <v>237737</v>
      </c>
      <c r="K550" s="211">
        <f aca="true" t="shared" si="60" ref="K550:W550">K551</f>
        <v>0</v>
      </c>
      <c r="L550" s="211">
        <f t="shared" si="60"/>
        <v>0</v>
      </c>
      <c r="M550" s="211">
        <f t="shared" si="60"/>
        <v>0</v>
      </c>
      <c r="N550" s="211">
        <f t="shared" si="60"/>
        <v>4000</v>
      </c>
      <c r="O550" s="211">
        <f t="shared" si="60"/>
        <v>50000</v>
      </c>
      <c r="P550" s="211">
        <f t="shared" si="60"/>
        <v>50000</v>
      </c>
      <c r="Q550" s="211">
        <f t="shared" si="60"/>
        <v>50000</v>
      </c>
      <c r="R550" s="211">
        <f t="shared" si="60"/>
        <v>50000</v>
      </c>
      <c r="S550" s="211">
        <f t="shared" si="60"/>
        <v>44250</v>
      </c>
      <c r="T550" s="211">
        <f t="shared" si="60"/>
        <v>0</v>
      </c>
      <c r="U550" s="211">
        <f t="shared" si="60"/>
        <v>-10513</v>
      </c>
      <c r="V550" s="211">
        <f t="shared" si="60"/>
        <v>0</v>
      </c>
      <c r="W550" s="211">
        <f t="shared" si="60"/>
        <v>237737.00000000003</v>
      </c>
      <c r="X550" s="184">
        <f t="shared" si="56"/>
        <v>0</v>
      </c>
    </row>
    <row r="551" spans="2:24" ht="78.75">
      <c r="B551" s="303"/>
      <c r="C551" s="303"/>
      <c r="D551" s="290"/>
      <c r="E551" s="145" t="s">
        <v>426</v>
      </c>
      <c r="F551" s="76"/>
      <c r="G551" s="99"/>
      <c r="H551" s="224"/>
      <c r="I551" s="255">
        <v>3240</v>
      </c>
      <c r="J551" s="76">
        <f>248250-10513</f>
        <v>237737</v>
      </c>
      <c r="K551" s="49"/>
      <c r="L551" s="49"/>
      <c r="M551" s="49"/>
      <c r="N551" s="76">
        <v>4000</v>
      </c>
      <c r="O551" s="76">
        <v>50000</v>
      </c>
      <c r="P551" s="76">
        <v>50000</v>
      </c>
      <c r="Q551" s="76">
        <v>50000</v>
      </c>
      <c r="R551" s="76">
        <v>50000</v>
      </c>
      <c r="S551" s="76">
        <v>44250</v>
      </c>
      <c r="T551" s="49"/>
      <c r="U551" s="49">
        <v>-10513</v>
      </c>
      <c r="V551" s="49"/>
      <c r="W551" s="49">
        <f>1188+1188+22646.7+28851.3+35243.6+1584+29921.9+32123.7+54722.5+9098.6+11567.5+9601.2</f>
        <v>237737.00000000003</v>
      </c>
      <c r="X551" s="40">
        <f t="shared" si="56"/>
        <v>0</v>
      </c>
    </row>
    <row r="552" spans="2:24" ht="15.75">
      <c r="B552" s="291" t="s">
        <v>356</v>
      </c>
      <c r="C552" s="291" t="s">
        <v>431</v>
      </c>
      <c r="D552" s="288" t="s">
        <v>139</v>
      </c>
      <c r="E552" s="94"/>
      <c r="F552" s="76"/>
      <c r="G552" s="99"/>
      <c r="H552" s="224"/>
      <c r="I552" s="255"/>
      <c r="J552" s="211">
        <f>SUM(J553:J559)</f>
        <v>1009183.4</v>
      </c>
      <c r="K552" s="211">
        <f aca="true" t="shared" si="61" ref="K552:W552">SUM(K553:K559)</f>
        <v>0</v>
      </c>
      <c r="L552" s="211">
        <f t="shared" si="61"/>
        <v>85683.4</v>
      </c>
      <c r="M552" s="211">
        <f t="shared" si="61"/>
        <v>0</v>
      </c>
      <c r="N552" s="211">
        <f t="shared" si="61"/>
        <v>0</v>
      </c>
      <c r="O552" s="211">
        <f t="shared" si="61"/>
        <v>48300</v>
      </c>
      <c r="P552" s="211">
        <f t="shared" si="61"/>
        <v>300000</v>
      </c>
      <c r="Q552" s="211">
        <f t="shared" si="61"/>
        <v>300000</v>
      </c>
      <c r="R552" s="211">
        <f t="shared" si="61"/>
        <v>250000</v>
      </c>
      <c r="S552" s="211">
        <f t="shared" si="61"/>
        <v>25200</v>
      </c>
      <c r="T552" s="211">
        <f t="shared" si="61"/>
        <v>0</v>
      </c>
      <c r="U552" s="211">
        <f t="shared" si="61"/>
        <v>0</v>
      </c>
      <c r="V552" s="211">
        <f t="shared" si="61"/>
        <v>0</v>
      </c>
      <c r="W552" s="211">
        <f t="shared" si="61"/>
        <v>1006784.8</v>
      </c>
      <c r="X552" s="184">
        <f t="shared" si="56"/>
        <v>2398.5999999999767</v>
      </c>
    </row>
    <row r="553" spans="2:24" ht="94.5">
      <c r="B553" s="292"/>
      <c r="C553" s="292"/>
      <c r="D553" s="289"/>
      <c r="E553" s="27" t="s">
        <v>755</v>
      </c>
      <c r="F553" s="76"/>
      <c r="G553" s="99"/>
      <c r="H553" s="224"/>
      <c r="I553" s="255">
        <v>3132</v>
      </c>
      <c r="J553" s="9">
        <v>72883.4</v>
      </c>
      <c r="K553" s="49"/>
      <c r="L553" s="9">
        <v>72883.4</v>
      </c>
      <c r="M553" s="49"/>
      <c r="N553" s="49"/>
      <c r="O553" s="49"/>
      <c r="P553" s="49"/>
      <c r="Q553" s="49"/>
      <c r="R553" s="49"/>
      <c r="S553" s="49"/>
      <c r="T553" s="49"/>
      <c r="U553" s="49"/>
      <c r="V553" s="49"/>
      <c r="W553" s="49">
        <v>72883.4</v>
      </c>
      <c r="X553" s="40">
        <f t="shared" si="56"/>
        <v>0</v>
      </c>
    </row>
    <row r="554" spans="2:24" ht="110.25">
      <c r="B554" s="292"/>
      <c r="C554" s="292"/>
      <c r="D554" s="289"/>
      <c r="E554" s="27" t="s">
        <v>374</v>
      </c>
      <c r="F554" s="76"/>
      <c r="G554" s="99"/>
      <c r="H554" s="224"/>
      <c r="I554" s="255">
        <v>3110</v>
      </c>
      <c r="J554" s="9">
        <v>2800</v>
      </c>
      <c r="K554" s="49"/>
      <c r="L554" s="49"/>
      <c r="M554" s="49"/>
      <c r="N554" s="49"/>
      <c r="O554" s="49">
        <v>2800</v>
      </c>
      <c r="P554" s="49"/>
      <c r="Q554" s="49"/>
      <c r="R554" s="49"/>
      <c r="S554" s="49"/>
      <c r="T554" s="49"/>
      <c r="U554" s="49"/>
      <c r="V554" s="49"/>
      <c r="W554" s="49">
        <v>2795</v>
      </c>
      <c r="X554" s="40">
        <f t="shared" si="56"/>
        <v>5</v>
      </c>
    </row>
    <row r="555" spans="2:24" ht="94.5">
      <c r="B555" s="292"/>
      <c r="C555" s="292"/>
      <c r="D555" s="289"/>
      <c r="E555" s="27" t="s">
        <v>599</v>
      </c>
      <c r="F555" s="76"/>
      <c r="G555" s="99"/>
      <c r="H555" s="224"/>
      <c r="I555" s="255">
        <v>3110</v>
      </c>
      <c r="J555" s="9">
        <v>26000</v>
      </c>
      <c r="K555" s="49"/>
      <c r="L555" s="49"/>
      <c r="M555" s="49"/>
      <c r="N555" s="49"/>
      <c r="O555" s="49">
        <v>26000</v>
      </c>
      <c r="P555" s="49"/>
      <c r="Q555" s="49"/>
      <c r="R555" s="49"/>
      <c r="S555" s="49"/>
      <c r="T555" s="49"/>
      <c r="U555" s="49"/>
      <c r="V555" s="49"/>
      <c r="W555" s="49">
        <v>26000</v>
      </c>
      <c r="X555" s="40">
        <f t="shared" si="56"/>
        <v>0</v>
      </c>
    </row>
    <row r="556" spans="2:24" ht="78.75">
      <c r="B556" s="292"/>
      <c r="C556" s="292"/>
      <c r="D556" s="289"/>
      <c r="E556" s="27" t="s">
        <v>12</v>
      </c>
      <c r="F556" s="76"/>
      <c r="G556" s="99"/>
      <c r="H556" s="224"/>
      <c r="I556" s="255">
        <v>3110</v>
      </c>
      <c r="J556" s="9">
        <v>19500</v>
      </c>
      <c r="K556" s="49"/>
      <c r="L556" s="49"/>
      <c r="M556" s="49"/>
      <c r="N556" s="49"/>
      <c r="O556" s="49">
        <v>19500</v>
      </c>
      <c r="P556" s="49"/>
      <c r="Q556" s="49"/>
      <c r="R556" s="49"/>
      <c r="S556" s="49"/>
      <c r="T556" s="49"/>
      <c r="U556" s="49"/>
      <c r="V556" s="49"/>
      <c r="W556" s="49">
        <v>17191</v>
      </c>
      <c r="X556" s="40">
        <f t="shared" si="56"/>
        <v>2309</v>
      </c>
    </row>
    <row r="557" spans="2:24" ht="126">
      <c r="B557" s="292"/>
      <c r="C557" s="292"/>
      <c r="D557" s="289"/>
      <c r="E557" s="27" t="s">
        <v>213</v>
      </c>
      <c r="F557" s="76"/>
      <c r="G557" s="99"/>
      <c r="H557" s="224"/>
      <c r="I557" s="255">
        <v>3132</v>
      </c>
      <c r="J557" s="9">
        <v>850000</v>
      </c>
      <c r="K557" s="49"/>
      <c r="L557" s="49"/>
      <c r="M557" s="49"/>
      <c r="N557" s="49"/>
      <c r="O557" s="49"/>
      <c r="P557" s="49">
        <v>300000</v>
      </c>
      <c r="Q557" s="49">
        <v>300000</v>
      </c>
      <c r="R557" s="49">
        <v>250000</v>
      </c>
      <c r="S557" s="49"/>
      <c r="T557" s="49"/>
      <c r="U557" s="49"/>
      <c r="V557" s="49"/>
      <c r="W557" s="49">
        <f>1406.4+254567.7+342595.3+251396</f>
        <v>849965.4</v>
      </c>
      <c r="X557" s="40">
        <f t="shared" si="56"/>
        <v>34.59999999997672</v>
      </c>
    </row>
    <row r="558" spans="2:24" ht="63">
      <c r="B558" s="292"/>
      <c r="C558" s="292"/>
      <c r="D558" s="289"/>
      <c r="E558" s="27" t="s">
        <v>214</v>
      </c>
      <c r="F558" s="76"/>
      <c r="G558" s="99"/>
      <c r="H558" s="224"/>
      <c r="I558" s="255">
        <v>3110</v>
      </c>
      <c r="J558" s="9">
        <v>25200</v>
      </c>
      <c r="K558" s="49"/>
      <c r="L558" s="49"/>
      <c r="M558" s="49"/>
      <c r="N558" s="49"/>
      <c r="O558" s="49"/>
      <c r="P558" s="49"/>
      <c r="Q558" s="49"/>
      <c r="R558" s="49"/>
      <c r="S558" s="49">
        <v>25200</v>
      </c>
      <c r="T558" s="49"/>
      <c r="U558" s="49"/>
      <c r="V558" s="49"/>
      <c r="W558" s="49">
        <v>25150</v>
      </c>
      <c r="X558" s="40">
        <f t="shared" si="56"/>
        <v>50</v>
      </c>
    </row>
    <row r="559" spans="2:24" ht="110.25">
      <c r="B559" s="293"/>
      <c r="C559" s="293"/>
      <c r="D559" s="290"/>
      <c r="E559" s="27" t="s">
        <v>756</v>
      </c>
      <c r="F559" s="76"/>
      <c r="G559" s="99"/>
      <c r="H559" s="224"/>
      <c r="I559" s="255">
        <v>3110</v>
      </c>
      <c r="J559" s="9">
        <v>12800</v>
      </c>
      <c r="K559" s="49"/>
      <c r="L559" s="9">
        <v>12800</v>
      </c>
      <c r="M559" s="49"/>
      <c r="N559" s="49"/>
      <c r="O559" s="49"/>
      <c r="P559" s="49"/>
      <c r="Q559" s="49"/>
      <c r="R559" s="49"/>
      <c r="S559" s="49"/>
      <c r="T559" s="49"/>
      <c r="U559" s="49"/>
      <c r="V559" s="49"/>
      <c r="W559" s="49">
        <v>12800</v>
      </c>
      <c r="X559" s="40">
        <f t="shared" si="56"/>
        <v>0</v>
      </c>
    </row>
    <row r="560" spans="2:24" ht="15.75">
      <c r="B560" s="194"/>
      <c r="C560" s="195"/>
      <c r="D560" s="294" t="s">
        <v>633</v>
      </c>
      <c r="E560" s="295"/>
      <c r="F560" s="100"/>
      <c r="G560" s="101"/>
      <c r="H560" s="223"/>
      <c r="I560" s="254"/>
      <c r="J560" s="43">
        <f aca="true" t="shared" si="62" ref="J560:W560">J563+J584+J607+J695+J699+J702+J581+J641+J693+J604+J561+J707</f>
        <v>96408168.85000001</v>
      </c>
      <c r="K560" s="43">
        <f t="shared" si="62"/>
        <v>0</v>
      </c>
      <c r="L560" s="43">
        <f t="shared" si="62"/>
        <v>3308538.190000001</v>
      </c>
      <c r="M560" s="43">
        <f t="shared" si="62"/>
        <v>599979.68</v>
      </c>
      <c r="N560" s="43">
        <f t="shared" si="62"/>
        <v>0</v>
      </c>
      <c r="O560" s="43">
        <f t="shared" si="62"/>
        <v>8086764.55</v>
      </c>
      <c r="P560" s="43">
        <f t="shared" si="62"/>
        <v>8476236.21</v>
      </c>
      <c r="Q560" s="43">
        <f t="shared" si="62"/>
        <v>9232216.84</v>
      </c>
      <c r="R560" s="43">
        <f t="shared" si="62"/>
        <v>25513595.56</v>
      </c>
      <c r="S560" s="43">
        <f t="shared" si="62"/>
        <v>33148866.7</v>
      </c>
      <c r="T560" s="43">
        <f t="shared" si="62"/>
        <v>4305706.46</v>
      </c>
      <c r="U560" s="43">
        <f t="shared" si="62"/>
        <v>1821700.42</v>
      </c>
      <c r="V560" s="43">
        <f t="shared" si="62"/>
        <v>1914564.24</v>
      </c>
      <c r="W560" s="43">
        <f t="shared" si="62"/>
        <v>82541723.95</v>
      </c>
      <c r="X560" s="60">
        <f t="shared" si="56"/>
        <v>13866444.900000006</v>
      </c>
    </row>
    <row r="561" spans="2:24" ht="15.75">
      <c r="B561" s="322" t="s">
        <v>292</v>
      </c>
      <c r="C561" s="322" t="s">
        <v>290</v>
      </c>
      <c r="D561" s="288" t="s">
        <v>328</v>
      </c>
      <c r="E561" s="94"/>
      <c r="F561" s="76"/>
      <c r="G561" s="99"/>
      <c r="H561" s="224"/>
      <c r="I561" s="255"/>
      <c r="J561" s="211">
        <f>J562</f>
        <v>32788</v>
      </c>
      <c r="K561" s="211">
        <f aca="true" t="shared" si="63" ref="K561:W561">K562</f>
        <v>0</v>
      </c>
      <c r="L561" s="211">
        <f t="shared" si="63"/>
        <v>0</v>
      </c>
      <c r="M561" s="211">
        <f t="shared" si="63"/>
        <v>0</v>
      </c>
      <c r="N561" s="211">
        <f t="shared" si="63"/>
        <v>0</v>
      </c>
      <c r="O561" s="211">
        <f t="shared" si="63"/>
        <v>33000</v>
      </c>
      <c r="P561" s="211">
        <f t="shared" si="63"/>
        <v>0</v>
      </c>
      <c r="Q561" s="211">
        <f t="shared" si="63"/>
        <v>0</v>
      </c>
      <c r="R561" s="211">
        <f t="shared" si="63"/>
        <v>0</v>
      </c>
      <c r="S561" s="211">
        <f t="shared" si="63"/>
        <v>0</v>
      </c>
      <c r="T561" s="211">
        <f t="shared" si="63"/>
        <v>0</v>
      </c>
      <c r="U561" s="211">
        <f t="shared" si="63"/>
        <v>0</v>
      </c>
      <c r="V561" s="211">
        <f t="shared" si="63"/>
        <v>-212</v>
      </c>
      <c r="W561" s="211">
        <f t="shared" si="63"/>
        <v>32788</v>
      </c>
      <c r="X561" s="184">
        <f t="shared" si="56"/>
        <v>0</v>
      </c>
    </row>
    <row r="562" spans="2:24" ht="15.75">
      <c r="B562" s="323"/>
      <c r="C562" s="323"/>
      <c r="D562" s="290"/>
      <c r="E562" s="103" t="s">
        <v>215</v>
      </c>
      <c r="F562" s="104"/>
      <c r="G562" s="104"/>
      <c r="H562" s="226"/>
      <c r="I562" s="250">
        <v>3110</v>
      </c>
      <c r="J562" s="21">
        <f>33000-212</f>
        <v>32788</v>
      </c>
      <c r="K562" s="49"/>
      <c r="L562" s="49"/>
      <c r="M562" s="49"/>
      <c r="N562" s="49"/>
      <c r="O562" s="49">
        <v>33000</v>
      </c>
      <c r="P562" s="49"/>
      <c r="Q562" s="49"/>
      <c r="R562" s="49"/>
      <c r="S562" s="49"/>
      <c r="T562" s="49"/>
      <c r="U562" s="49"/>
      <c r="V562" s="49">
        <v>-212</v>
      </c>
      <c r="W562" s="49">
        <v>32788</v>
      </c>
      <c r="X562" s="40">
        <f t="shared" si="56"/>
        <v>0</v>
      </c>
    </row>
    <row r="563" spans="2:24" ht="15.75">
      <c r="B563" s="291" t="s">
        <v>574</v>
      </c>
      <c r="C563" s="291" t="s">
        <v>568</v>
      </c>
      <c r="D563" s="288" t="s">
        <v>569</v>
      </c>
      <c r="E563" s="94"/>
      <c r="F563" s="76"/>
      <c r="G563" s="99"/>
      <c r="H563" s="224"/>
      <c r="I563" s="255"/>
      <c r="J563" s="211">
        <f>SUM(J564:J580)</f>
        <v>11214727.879999999</v>
      </c>
      <c r="K563" s="211">
        <f aca="true" t="shared" si="64" ref="K563:W563">SUM(K564:K580)</f>
        <v>0</v>
      </c>
      <c r="L563" s="211">
        <f t="shared" si="64"/>
        <v>1210094.84</v>
      </c>
      <c r="M563" s="211">
        <f t="shared" si="64"/>
        <v>549979.68</v>
      </c>
      <c r="N563" s="211">
        <f t="shared" si="64"/>
        <v>0</v>
      </c>
      <c r="O563" s="211">
        <f t="shared" si="64"/>
        <v>2072682.39</v>
      </c>
      <c r="P563" s="211">
        <f t="shared" si="64"/>
        <v>1830992.5</v>
      </c>
      <c r="Q563" s="211">
        <f t="shared" si="64"/>
        <v>1347416.84</v>
      </c>
      <c r="R563" s="211">
        <f t="shared" si="64"/>
        <v>1480533.75</v>
      </c>
      <c r="S563" s="211">
        <f t="shared" si="64"/>
        <v>985641.75</v>
      </c>
      <c r="T563" s="211">
        <f t="shared" si="64"/>
        <v>657850.25</v>
      </c>
      <c r="U563" s="211">
        <f t="shared" si="64"/>
        <v>430522.52</v>
      </c>
      <c r="V563" s="211">
        <f t="shared" si="64"/>
        <v>649013.36</v>
      </c>
      <c r="W563" s="211">
        <f t="shared" si="64"/>
        <v>10295645.77</v>
      </c>
      <c r="X563" s="184">
        <f t="shared" si="56"/>
        <v>919082.1099999994</v>
      </c>
    </row>
    <row r="564" spans="2:24" ht="63">
      <c r="B564" s="292"/>
      <c r="C564" s="292"/>
      <c r="D564" s="289"/>
      <c r="E564" s="19" t="s">
        <v>571</v>
      </c>
      <c r="F564" s="76"/>
      <c r="G564" s="99"/>
      <c r="H564" s="224"/>
      <c r="I564" s="255">
        <v>3131</v>
      </c>
      <c r="J564" s="9">
        <v>101257.81</v>
      </c>
      <c r="K564" s="49"/>
      <c r="L564" s="9">
        <v>101257.81</v>
      </c>
      <c r="M564" s="49"/>
      <c r="N564" s="49"/>
      <c r="O564" s="49"/>
      <c r="P564" s="49"/>
      <c r="Q564" s="49"/>
      <c r="R564" s="49"/>
      <c r="S564" s="49"/>
      <c r="T564" s="49"/>
      <c r="U564" s="49"/>
      <c r="V564" s="49"/>
      <c r="W564" s="9">
        <v>101257.81</v>
      </c>
      <c r="X564" s="40">
        <f t="shared" si="56"/>
        <v>0</v>
      </c>
    </row>
    <row r="565" spans="2:24" ht="110.25">
      <c r="B565" s="292"/>
      <c r="C565" s="292"/>
      <c r="D565" s="289"/>
      <c r="E565" s="19" t="s">
        <v>813</v>
      </c>
      <c r="F565" s="76"/>
      <c r="G565" s="99"/>
      <c r="H565" s="224"/>
      <c r="I565" s="255">
        <v>3131</v>
      </c>
      <c r="J565" s="9">
        <v>8294.87</v>
      </c>
      <c r="K565" s="49"/>
      <c r="L565" s="9">
        <v>8294.87</v>
      </c>
      <c r="M565" s="49"/>
      <c r="N565" s="49"/>
      <c r="O565" s="49"/>
      <c r="P565" s="49"/>
      <c r="Q565" s="49"/>
      <c r="R565" s="49"/>
      <c r="S565" s="49"/>
      <c r="T565" s="49"/>
      <c r="U565" s="49"/>
      <c r="V565" s="49"/>
      <c r="W565" s="9">
        <v>8294.87</v>
      </c>
      <c r="X565" s="40">
        <f t="shared" si="56"/>
        <v>0</v>
      </c>
    </row>
    <row r="566" spans="2:24" ht="78.75">
      <c r="B566" s="292"/>
      <c r="C566" s="292"/>
      <c r="D566" s="289"/>
      <c r="E566" s="28" t="s">
        <v>593</v>
      </c>
      <c r="F566" s="76"/>
      <c r="G566" s="99"/>
      <c r="H566" s="224"/>
      <c r="I566" s="255">
        <v>3131</v>
      </c>
      <c r="J566" s="9">
        <v>33519.58</v>
      </c>
      <c r="K566" s="49"/>
      <c r="L566" s="9">
        <v>33519.58</v>
      </c>
      <c r="M566" s="49"/>
      <c r="N566" s="49"/>
      <c r="O566" s="49"/>
      <c r="P566" s="49"/>
      <c r="Q566" s="49"/>
      <c r="R566" s="49"/>
      <c r="S566" s="49"/>
      <c r="T566" s="49"/>
      <c r="U566" s="49"/>
      <c r="V566" s="49"/>
      <c r="W566" s="9">
        <v>33519.58</v>
      </c>
      <c r="X566" s="40">
        <f t="shared" si="56"/>
        <v>0</v>
      </c>
    </row>
    <row r="567" spans="2:24" ht="78.75">
      <c r="B567" s="292"/>
      <c r="C567" s="292"/>
      <c r="D567" s="289"/>
      <c r="E567" s="28" t="s">
        <v>425</v>
      </c>
      <c r="F567" s="76"/>
      <c r="G567" s="99"/>
      <c r="H567" s="224"/>
      <c r="I567" s="255">
        <v>3131</v>
      </c>
      <c r="J567" s="9">
        <v>472572.32</v>
      </c>
      <c r="K567" s="49"/>
      <c r="L567" s="9">
        <v>472572.32</v>
      </c>
      <c r="M567" s="49"/>
      <c r="N567" s="49"/>
      <c r="O567" s="49"/>
      <c r="P567" s="49"/>
      <c r="Q567" s="49"/>
      <c r="R567" s="49"/>
      <c r="S567" s="49"/>
      <c r="T567" s="49"/>
      <c r="U567" s="49"/>
      <c r="V567" s="49"/>
      <c r="W567" s="9">
        <v>472572.32</v>
      </c>
      <c r="X567" s="40">
        <f t="shared" si="56"/>
        <v>0</v>
      </c>
    </row>
    <row r="568" spans="2:24" ht="63">
      <c r="B568" s="292"/>
      <c r="C568" s="292"/>
      <c r="D568" s="289"/>
      <c r="E568" s="28" t="s">
        <v>631</v>
      </c>
      <c r="F568" s="76"/>
      <c r="G568" s="99"/>
      <c r="H568" s="224"/>
      <c r="I568" s="255">
        <v>3131</v>
      </c>
      <c r="J568" s="9">
        <v>18298.8</v>
      </c>
      <c r="K568" s="49"/>
      <c r="L568" s="9">
        <v>18298.8</v>
      </c>
      <c r="M568" s="49"/>
      <c r="N568" s="49"/>
      <c r="O568" s="49"/>
      <c r="P568" s="49"/>
      <c r="Q568" s="49"/>
      <c r="R568" s="49"/>
      <c r="S568" s="49"/>
      <c r="T568" s="49"/>
      <c r="U568" s="49"/>
      <c r="V568" s="49"/>
      <c r="W568" s="9">
        <v>18298.8</v>
      </c>
      <c r="X568" s="40">
        <f t="shared" si="56"/>
        <v>0</v>
      </c>
    </row>
    <row r="569" spans="2:24" ht="47.25">
      <c r="B569" s="292"/>
      <c r="C569" s="292"/>
      <c r="D569" s="289"/>
      <c r="E569" s="28" t="s">
        <v>604</v>
      </c>
      <c r="F569" s="76"/>
      <c r="G569" s="99"/>
      <c r="H569" s="224"/>
      <c r="I569" s="255">
        <v>3131</v>
      </c>
      <c r="J569" s="9">
        <v>52159.6</v>
      </c>
      <c r="K569" s="49"/>
      <c r="L569" s="9">
        <v>52159.6</v>
      </c>
      <c r="M569" s="49"/>
      <c r="N569" s="49"/>
      <c r="O569" s="49"/>
      <c r="P569" s="49"/>
      <c r="Q569" s="49"/>
      <c r="R569" s="49"/>
      <c r="S569" s="49"/>
      <c r="T569" s="49"/>
      <c r="U569" s="49"/>
      <c r="V569" s="49"/>
      <c r="W569" s="9">
        <v>52159.6</v>
      </c>
      <c r="X569" s="40">
        <f t="shared" si="56"/>
        <v>0</v>
      </c>
    </row>
    <row r="570" spans="2:24" ht="47.25">
      <c r="B570" s="292"/>
      <c r="C570" s="292"/>
      <c r="D570" s="289"/>
      <c r="E570" s="28" t="s">
        <v>101</v>
      </c>
      <c r="F570" s="76"/>
      <c r="G570" s="99"/>
      <c r="H570" s="224"/>
      <c r="I570" s="255">
        <v>3131</v>
      </c>
      <c r="J570" s="9">
        <v>84337.58</v>
      </c>
      <c r="K570" s="49"/>
      <c r="L570" s="9">
        <v>84337.58</v>
      </c>
      <c r="M570" s="49"/>
      <c r="N570" s="49"/>
      <c r="O570" s="49"/>
      <c r="P570" s="49"/>
      <c r="Q570" s="49"/>
      <c r="R570" s="49"/>
      <c r="S570" s="49"/>
      <c r="T570" s="49"/>
      <c r="U570" s="49"/>
      <c r="V570" s="49"/>
      <c r="W570" s="9">
        <v>84337.58</v>
      </c>
      <c r="X570" s="40">
        <f t="shared" si="56"/>
        <v>0</v>
      </c>
    </row>
    <row r="571" spans="2:24" ht="63">
      <c r="B571" s="292"/>
      <c r="C571" s="292"/>
      <c r="D571" s="289"/>
      <c r="E571" s="28" t="s">
        <v>831</v>
      </c>
      <c r="F571" s="76"/>
      <c r="G571" s="99"/>
      <c r="H571" s="224"/>
      <c r="I571" s="255">
        <v>3131</v>
      </c>
      <c r="J571" s="9">
        <v>59704.2</v>
      </c>
      <c r="K571" s="49"/>
      <c r="L571" s="9">
        <v>59704.2</v>
      </c>
      <c r="M571" s="49"/>
      <c r="N571" s="49"/>
      <c r="O571" s="49"/>
      <c r="P571" s="49"/>
      <c r="Q571" s="49"/>
      <c r="R571" s="49"/>
      <c r="S571" s="49"/>
      <c r="T571" s="49"/>
      <c r="U571" s="49"/>
      <c r="V571" s="49"/>
      <c r="W571" s="9">
        <v>59704.2</v>
      </c>
      <c r="X571" s="40">
        <f t="shared" si="56"/>
        <v>0</v>
      </c>
    </row>
    <row r="572" spans="2:24" ht="47.25">
      <c r="B572" s="292"/>
      <c r="C572" s="292"/>
      <c r="D572" s="289"/>
      <c r="E572" s="28" t="s">
        <v>905</v>
      </c>
      <c r="F572" s="76"/>
      <c r="G572" s="99"/>
      <c r="H572" s="224"/>
      <c r="I572" s="255">
        <v>3131</v>
      </c>
      <c r="J572" s="9">
        <v>199207.81</v>
      </c>
      <c r="K572" s="49"/>
      <c r="L572" s="9">
        <v>199207.81</v>
      </c>
      <c r="M572" s="49"/>
      <c r="N572" s="49"/>
      <c r="O572" s="49"/>
      <c r="P572" s="49"/>
      <c r="Q572" s="49"/>
      <c r="R572" s="49"/>
      <c r="S572" s="49"/>
      <c r="T572" s="49"/>
      <c r="U572" s="49"/>
      <c r="V572" s="49"/>
      <c r="W572" s="9">
        <v>199207.81</v>
      </c>
      <c r="X572" s="40">
        <f t="shared" si="56"/>
        <v>0</v>
      </c>
    </row>
    <row r="573" spans="2:24" ht="47.25">
      <c r="B573" s="292"/>
      <c r="C573" s="292"/>
      <c r="D573" s="289"/>
      <c r="E573" s="28" t="s">
        <v>244</v>
      </c>
      <c r="F573" s="76"/>
      <c r="G573" s="99"/>
      <c r="H573" s="224"/>
      <c r="I573" s="255">
        <v>3131</v>
      </c>
      <c r="J573" s="9">
        <v>180742.27</v>
      </c>
      <c r="K573" s="49"/>
      <c r="L573" s="9">
        <v>180742.27</v>
      </c>
      <c r="M573" s="49"/>
      <c r="N573" s="49"/>
      <c r="O573" s="49"/>
      <c r="P573" s="49"/>
      <c r="Q573" s="49"/>
      <c r="R573" s="49"/>
      <c r="S573" s="49"/>
      <c r="T573" s="49"/>
      <c r="U573" s="49"/>
      <c r="V573" s="49"/>
      <c r="W573" s="9">
        <v>180742.27</v>
      </c>
      <c r="X573" s="40">
        <f t="shared" si="56"/>
        <v>0</v>
      </c>
    </row>
    <row r="574" spans="2:24" ht="157.5">
      <c r="B574" s="292"/>
      <c r="C574" s="292"/>
      <c r="D574" s="289"/>
      <c r="E574" s="105" t="s">
        <v>504</v>
      </c>
      <c r="F574" s="76"/>
      <c r="G574" s="99"/>
      <c r="H574" s="224"/>
      <c r="I574" s="255">
        <v>3131</v>
      </c>
      <c r="J574" s="9">
        <f>10164200-1126087-130000</f>
        <v>8908113</v>
      </c>
      <c r="K574" s="49"/>
      <c r="L574" s="49"/>
      <c r="M574" s="49"/>
      <c r="N574" s="49"/>
      <c r="O574" s="49">
        <v>2022682.39</v>
      </c>
      <c r="P574" s="49">
        <v>1750992.5</v>
      </c>
      <c r="Q574" s="49">
        <v>1317416.84</v>
      </c>
      <c r="R574" s="49">
        <v>1296533.75</v>
      </c>
      <c r="S574" s="49">
        <f>1074578.75-479108</f>
        <v>595470.75</v>
      </c>
      <c r="T574" s="49">
        <f>1013174.25-355324</f>
        <v>657850.25</v>
      </c>
      <c r="U574" s="49">
        <f>706349.52-145827-130000</f>
        <v>430522.52</v>
      </c>
      <c r="V574" s="49">
        <f>982472-145828</f>
        <v>836644</v>
      </c>
      <c r="W574" s="49">
        <f>98532+75072+7774.8+20214+6333.6+426782.42+6478+903421.49+11470.8+153872.01+12488+796503.81+18852+2613.6+205562.4+3116.4+27112.4+57500.54+92178.72+13617+176449.92+152632.89+809655.96+88364+52066.8+382291.64+140679.32+8245+913315.69+4816.96+201851.04+176212.35+560214.3+54336+247706+9935+263587.6+67888.83+44794.61+52834.28+207570.46+79554.71+64674.78+116369.43+78045.85+49281.93+25627.7+48514.13-2101.96+53095.08</f>
        <v>8068006.29</v>
      </c>
      <c r="X574" s="40">
        <f t="shared" si="56"/>
        <v>840106.71</v>
      </c>
    </row>
    <row r="575" spans="2:24" ht="78.75">
      <c r="B575" s="292"/>
      <c r="C575" s="292"/>
      <c r="D575" s="289"/>
      <c r="E575" s="10" t="s">
        <v>817</v>
      </c>
      <c r="F575" s="106"/>
      <c r="G575" s="106"/>
      <c r="H575" s="227"/>
      <c r="I575" s="255">
        <v>3131</v>
      </c>
      <c r="J575" s="49">
        <v>549979.68</v>
      </c>
      <c r="K575" s="49"/>
      <c r="L575" s="49"/>
      <c r="M575" s="49">
        <v>549979.68</v>
      </c>
      <c r="N575" s="49"/>
      <c r="O575" s="49"/>
      <c r="P575" s="49"/>
      <c r="Q575" s="49"/>
      <c r="R575" s="49"/>
      <c r="S575" s="49"/>
      <c r="T575" s="49"/>
      <c r="U575" s="49"/>
      <c r="V575" s="49"/>
      <c r="W575" s="9">
        <v>549979.68</v>
      </c>
      <c r="X575" s="40">
        <f t="shared" si="56"/>
        <v>0</v>
      </c>
    </row>
    <row r="576" spans="2:24" ht="31.5">
      <c r="B576" s="292"/>
      <c r="C576" s="292"/>
      <c r="D576" s="289"/>
      <c r="E576" s="10" t="s">
        <v>818</v>
      </c>
      <c r="F576" s="106"/>
      <c r="G576" s="107"/>
      <c r="H576" s="228"/>
      <c r="I576" s="255">
        <v>3131</v>
      </c>
      <c r="J576" s="21">
        <v>130000</v>
      </c>
      <c r="K576" s="49"/>
      <c r="L576" s="49"/>
      <c r="M576" s="49"/>
      <c r="N576" s="49"/>
      <c r="O576" s="49">
        <v>50000</v>
      </c>
      <c r="P576" s="49">
        <v>80000</v>
      </c>
      <c r="Q576" s="49"/>
      <c r="R576" s="49"/>
      <c r="S576" s="49"/>
      <c r="T576" s="49"/>
      <c r="U576" s="49"/>
      <c r="V576" s="49"/>
      <c r="W576" s="49">
        <f>33458.4+30310.8</f>
        <v>63769.2</v>
      </c>
      <c r="X576" s="40">
        <f t="shared" si="56"/>
        <v>66230.8</v>
      </c>
    </row>
    <row r="577" spans="2:24" ht="31.5" hidden="1">
      <c r="B577" s="292"/>
      <c r="C577" s="292"/>
      <c r="D577" s="289"/>
      <c r="E577" s="108" t="s">
        <v>372</v>
      </c>
      <c r="F577" s="106"/>
      <c r="G577" s="107"/>
      <c r="H577" s="228"/>
      <c r="I577" s="255">
        <v>3131</v>
      </c>
      <c r="J577" s="21">
        <f>184000-184000</f>
        <v>0</v>
      </c>
      <c r="K577" s="49"/>
      <c r="L577" s="49"/>
      <c r="M577" s="49"/>
      <c r="N577" s="49"/>
      <c r="O577" s="49"/>
      <c r="P577" s="49"/>
      <c r="Q577" s="49"/>
      <c r="R577" s="49">
        <v>184000</v>
      </c>
      <c r="S577" s="49"/>
      <c r="T577" s="49"/>
      <c r="U577" s="49"/>
      <c r="V577" s="49">
        <v>-184000</v>
      </c>
      <c r="W577" s="49"/>
      <c r="X577" s="40">
        <f t="shared" si="56"/>
        <v>0</v>
      </c>
    </row>
    <row r="578" spans="2:24" ht="47.25">
      <c r="B578" s="292"/>
      <c r="C578" s="292"/>
      <c r="D578" s="289"/>
      <c r="E578" s="108" t="s">
        <v>773</v>
      </c>
      <c r="F578" s="106"/>
      <c r="G578" s="107"/>
      <c r="H578" s="228"/>
      <c r="I578" s="255">
        <v>3131</v>
      </c>
      <c r="J578" s="21">
        <v>183120</v>
      </c>
      <c r="K578" s="49"/>
      <c r="L578" s="49"/>
      <c r="M578" s="49"/>
      <c r="N578" s="49"/>
      <c r="O578" s="49"/>
      <c r="P578" s="49"/>
      <c r="Q578" s="49"/>
      <c r="R578" s="49"/>
      <c r="S578" s="49">
        <v>183120</v>
      </c>
      <c r="T578" s="49"/>
      <c r="U578" s="49"/>
      <c r="V578" s="49"/>
      <c r="W578" s="49">
        <f>126311.16+55974.64</f>
        <v>182285.8</v>
      </c>
      <c r="X578" s="40">
        <f t="shared" si="56"/>
        <v>834.2000000000116</v>
      </c>
    </row>
    <row r="579" spans="2:24" ht="47.25">
      <c r="B579" s="292"/>
      <c r="C579" s="292"/>
      <c r="D579" s="289"/>
      <c r="E579" s="108" t="s">
        <v>774</v>
      </c>
      <c r="F579" s="106"/>
      <c r="G579" s="107"/>
      <c r="H579" s="228"/>
      <c r="I579" s="255">
        <v>3131</v>
      </c>
      <c r="J579" s="21">
        <v>166880</v>
      </c>
      <c r="K579" s="49"/>
      <c r="L579" s="49"/>
      <c r="M579" s="49"/>
      <c r="N579" s="49"/>
      <c r="O579" s="49"/>
      <c r="P579" s="49"/>
      <c r="Q579" s="49"/>
      <c r="R579" s="49"/>
      <c r="S579" s="49">
        <v>166880</v>
      </c>
      <c r="T579" s="49"/>
      <c r="U579" s="49"/>
      <c r="V579" s="49"/>
      <c r="W579" s="49">
        <f>115168.56+40499.04+2302</f>
        <v>157969.6</v>
      </c>
      <c r="X579" s="40">
        <f t="shared" si="56"/>
        <v>8910.399999999994</v>
      </c>
    </row>
    <row r="580" spans="2:24" ht="47.25">
      <c r="B580" s="292"/>
      <c r="C580" s="292"/>
      <c r="D580" s="289"/>
      <c r="E580" s="108" t="s">
        <v>819</v>
      </c>
      <c r="F580" s="106"/>
      <c r="G580" s="107"/>
      <c r="H580" s="228"/>
      <c r="I580" s="255">
        <v>3131</v>
      </c>
      <c r="J580" s="21">
        <f>30000+40171-3630.64</f>
        <v>66540.36</v>
      </c>
      <c r="K580" s="49"/>
      <c r="L580" s="49"/>
      <c r="M580" s="49"/>
      <c r="N580" s="49"/>
      <c r="O580" s="49"/>
      <c r="P580" s="49"/>
      <c r="Q580" s="49">
        <v>30000</v>
      </c>
      <c r="R580" s="49"/>
      <c r="S580" s="49">
        <v>40171</v>
      </c>
      <c r="T580" s="49"/>
      <c r="U580" s="49"/>
      <c r="V580" s="49">
        <v>-3630.64</v>
      </c>
      <c r="W580" s="49">
        <f>48265.92+2101.96+13172.48</f>
        <v>63540.36</v>
      </c>
      <c r="X580" s="40">
        <f t="shared" si="56"/>
        <v>3000</v>
      </c>
    </row>
    <row r="581" spans="2:24" ht="15.75">
      <c r="B581" s="302" t="s">
        <v>575</v>
      </c>
      <c r="C581" s="302" t="s">
        <v>568</v>
      </c>
      <c r="D581" s="307" t="s">
        <v>877</v>
      </c>
      <c r="E581" s="28"/>
      <c r="F581" s="76"/>
      <c r="G581" s="99"/>
      <c r="H581" s="224"/>
      <c r="I581" s="255"/>
      <c r="J581" s="210">
        <f>SUM(J582:J583)</f>
        <v>4114537.25</v>
      </c>
      <c r="K581" s="210">
        <f aca="true" t="shared" si="65" ref="K581:W581">SUM(K582:K583)</f>
        <v>0</v>
      </c>
      <c r="L581" s="210">
        <f t="shared" si="65"/>
        <v>0</v>
      </c>
      <c r="M581" s="210">
        <f t="shared" si="65"/>
        <v>0</v>
      </c>
      <c r="N581" s="210">
        <f t="shared" si="65"/>
        <v>0</v>
      </c>
      <c r="O581" s="210">
        <f t="shared" si="65"/>
        <v>1069537.25</v>
      </c>
      <c r="P581" s="210">
        <f t="shared" si="65"/>
        <v>500000</v>
      </c>
      <c r="Q581" s="210">
        <f t="shared" si="65"/>
        <v>500000</v>
      </c>
      <c r="R581" s="210">
        <f t="shared" si="65"/>
        <v>500000</v>
      </c>
      <c r="S581" s="210">
        <f t="shared" si="65"/>
        <v>1450000</v>
      </c>
      <c r="T581" s="210">
        <f t="shared" si="65"/>
        <v>-20000</v>
      </c>
      <c r="U581" s="210">
        <f t="shared" si="65"/>
        <v>130000</v>
      </c>
      <c r="V581" s="210">
        <f t="shared" si="65"/>
        <v>-15000</v>
      </c>
      <c r="W581" s="210">
        <f t="shared" si="65"/>
        <v>4099841.6999999997</v>
      </c>
      <c r="X581" s="184">
        <f t="shared" si="56"/>
        <v>14695.55000000028</v>
      </c>
    </row>
    <row r="582" spans="2:24" ht="94.5">
      <c r="B582" s="308"/>
      <c r="C582" s="308"/>
      <c r="D582" s="307"/>
      <c r="E582" s="12" t="s">
        <v>912</v>
      </c>
      <c r="F582" s="76"/>
      <c r="G582" s="99"/>
      <c r="H582" s="224"/>
      <c r="I582" s="251" t="s">
        <v>205</v>
      </c>
      <c r="J582" s="21">
        <f>1500000+1000000-3791.32-50000+1000000-20000+130000-15000</f>
        <v>3541208.68</v>
      </c>
      <c r="K582" s="49"/>
      <c r="L582" s="49"/>
      <c r="M582" s="49"/>
      <c r="N582" s="49"/>
      <c r="O582" s="49">
        <v>500000</v>
      </c>
      <c r="P582" s="49">
        <v>500000</v>
      </c>
      <c r="Q582" s="49">
        <v>500000</v>
      </c>
      <c r="R582" s="49">
        <f>500000-3791.32</f>
        <v>496208.68</v>
      </c>
      <c r="S582" s="49">
        <f>500000-50000+1000000</f>
        <v>1450000</v>
      </c>
      <c r="T582" s="49">
        <v>-20000</v>
      </c>
      <c r="U582" s="49">
        <v>130000</v>
      </c>
      <c r="V582" s="49">
        <v>-15000</v>
      </c>
      <c r="W582" s="49">
        <f>14592.89+7454.93+38024.16+49998.22+7501.31+34084+634248.6+140153+170670.5+162796.8+67956+67874.5+435410.7+171201.2+352920.53+350211.5+226123.72+22690.5+100998.28+136328.8+45116.95+290156.04</f>
        <v>3526513.13</v>
      </c>
      <c r="X582" s="40">
        <f t="shared" si="56"/>
        <v>14695.55000000028</v>
      </c>
    </row>
    <row r="583" spans="2:24" ht="31.5">
      <c r="B583" s="303"/>
      <c r="C583" s="303"/>
      <c r="D583" s="307"/>
      <c r="E583" s="12" t="s">
        <v>241</v>
      </c>
      <c r="F583" s="76"/>
      <c r="G583" s="99"/>
      <c r="H583" s="224"/>
      <c r="I583" s="255">
        <v>3210</v>
      </c>
      <c r="J583" s="21">
        <f>569537.25+3791.32</f>
        <v>573328.57</v>
      </c>
      <c r="K583" s="49"/>
      <c r="L583" s="49"/>
      <c r="M583" s="49"/>
      <c r="N583" s="49"/>
      <c r="O583" s="49">
        <v>569537.25</v>
      </c>
      <c r="P583" s="49"/>
      <c r="Q583" s="49"/>
      <c r="R583" s="49">
        <f>3791.32</f>
        <v>3791.32</v>
      </c>
      <c r="S583" s="49"/>
      <c r="T583" s="49"/>
      <c r="U583" s="49"/>
      <c r="V583" s="49"/>
      <c r="W583" s="49">
        <f>569536.57+3792</f>
        <v>573328.57</v>
      </c>
      <c r="X583" s="40">
        <f t="shared" si="56"/>
        <v>0</v>
      </c>
    </row>
    <row r="584" spans="2:24" ht="15.75">
      <c r="B584" s="291" t="s">
        <v>296</v>
      </c>
      <c r="C584" s="291" t="s">
        <v>297</v>
      </c>
      <c r="D584" s="288" t="s">
        <v>88</v>
      </c>
      <c r="E584" s="28"/>
      <c r="F584" s="76"/>
      <c r="G584" s="99"/>
      <c r="H584" s="224"/>
      <c r="I584" s="255"/>
      <c r="J584" s="210">
        <f>SUM(J585:J603)</f>
        <v>5344027.48</v>
      </c>
      <c r="K584" s="210">
        <f aca="true" t="shared" si="66" ref="K584:W584">SUM(K585:K603)</f>
        <v>0</v>
      </c>
      <c r="L584" s="210">
        <f t="shared" si="66"/>
        <v>185354.47999999998</v>
      </c>
      <c r="M584" s="210">
        <f t="shared" si="66"/>
        <v>0</v>
      </c>
      <c r="N584" s="210">
        <f t="shared" si="66"/>
        <v>0</v>
      </c>
      <c r="O584" s="210">
        <f t="shared" si="66"/>
        <v>513320.11</v>
      </c>
      <c r="P584" s="210">
        <f t="shared" si="66"/>
        <v>460952</v>
      </c>
      <c r="Q584" s="210">
        <f t="shared" si="66"/>
        <v>1200000</v>
      </c>
      <c r="R584" s="210">
        <f t="shared" si="66"/>
        <v>1561295.7799999998</v>
      </c>
      <c r="S584" s="210">
        <f t="shared" si="66"/>
        <v>677104.21</v>
      </c>
      <c r="T584" s="210">
        <f t="shared" si="66"/>
        <v>384795</v>
      </c>
      <c r="U584" s="210">
        <f t="shared" si="66"/>
        <v>245377.90000000002</v>
      </c>
      <c r="V584" s="210">
        <f t="shared" si="66"/>
        <v>115828</v>
      </c>
      <c r="W584" s="210">
        <f t="shared" si="66"/>
        <v>3143857.4399999995</v>
      </c>
      <c r="X584" s="184">
        <f t="shared" si="56"/>
        <v>2200170.040000001</v>
      </c>
    </row>
    <row r="585" spans="2:24" ht="94.5">
      <c r="B585" s="292"/>
      <c r="C585" s="292"/>
      <c r="D585" s="289"/>
      <c r="E585" s="28" t="s">
        <v>803</v>
      </c>
      <c r="F585" s="14">
        <v>200000</v>
      </c>
      <c r="G585" s="18">
        <f>100%-((F585-H585)/F585)</f>
        <v>1</v>
      </c>
      <c r="H585" s="229">
        <v>200000</v>
      </c>
      <c r="I585" s="257">
        <v>3142</v>
      </c>
      <c r="J585" s="9">
        <v>6141.31</v>
      </c>
      <c r="K585" s="49"/>
      <c r="L585" s="9">
        <v>6141.31</v>
      </c>
      <c r="M585" s="49"/>
      <c r="N585" s="49"/>
      <c r="O585" s="49"/>
      <c r="P585" s="49"/>
      <c r="Q585" s="49"/>
      <c r="R585" s="49"/>
      <c r="S585" s="49"/>
      <c r="T585" s="49"/>
      <c r="U585" s="49"/>
      <c r="V585" s="49"/>
      <c r="W585" s="9">
        <v>6141.31</v>
      </c>
      <c r="X585" s="40">
        <f t="shared" si="56"/>
        <v>0</v>
      </c>
    </row>
    <row r="586" spans="2:24" ht="63">
      <c r="B586" s="292"/>
      <c r="C586" s="292"/>
      <c r="D586" s="289"/>
      <c r="E586" s="12" t="s">
        <v>66</v>
      </c>
      <c r="F586" s="14">
        <v>3200000</v>
      </c>
      <c r="G586" s="18">
        <f>100%-((F586-H586)/F586)</f>
        <v>1</v>
      </c>
      <c r="H586" s="229">
        <v>3200000</v>
      </c>
      <c r="I586" s="257">
        <v>3142</v>
      </c>
      <c r="J586" s="9">
        <v>37961.83</v>
      </c>
      <c r="K586" s="49"/>
      <c r="L586" s="9">
        <v>37961.83</v>
      </c>
      <c r="M586" s="49"/>
      <c r="N586" s="49"/>
      <c r="O586" s="49"/>
      <c r="P586" s="49"/>
      <c r="Q586" s="49"/>
      <c r="R586" s="49"/>
      <c r="S586" s="49"/>
      <c r="T586" s="49"/>
      <c r="U586" s="49"/>
      <c r="V586" s="49"/>
      <c r="W586" s="9">
        <v>37961.83</v>
      </c>
      <c r="X586" s="40">
        <f t="shared" si="56"/>
        <v>0</v>
      </c>
    </row>
    <row r="587" spans="2:24" ht="78.75">
      <c r="B587" s="292"/>
      <c r="C587" s="292"/>
      <c r="D587" s="289"/>
      <c r="E587" s="29" t="s">
        <v>8</v>
      </c>
      <c r="F587" s="14">
        <v>975710</v>
      </c>
      <c r="G587" s="18">
        <f>100%-((F587-H587)/F587)</f>
        <v>0.325250228039069</v>
      </c>
      <c r="H587" s="229">
        <v>317349.9</v>
      </c>
      <c r="I587" s="257">
        <v>3142</v>
      </c>
      <c r="J587" s="9">
        <v>141251.34</v>
      </c>
      <c r="K587" s="49"/>
      <c r="L587" s="9">
        <v>141251.34</v>
      </c>
      <c r="M587" s="49"/>
      <c r="N587" s="49"/>
      <c r="O587" s="49"/>
      <c r="P587" s="49"/>
      <c r="Q587" s="49"/>
      <c r="R587" s="49"/>
      <c r="S587" s="49"/>
      <c r="T587" s="49"/>
      <c r="U587" s="49"/>
      <c r="V587" s="49"/>
      <c r="W587" s="9">
        <v>141251.34</v>
      </c>
      <c r="X587" s="40">
        <f t="shared" si="56"/>
        <v>0</v>
      </c>
    </row>
    <row r="588" spans="2:24" ht="63">
      <c r="B588" s="292"/>
      <c r="C588" s="292"/>
      <c r="D588" s="289"/>
      <c r="E588" s="10" t="s">
        <v>116</v>
      </c>
      <c r="F588" s="106"/>
      <c r="G588" s="106"/>
      <c r="H588" s="227"/>
      <c r="I588" s="257">
        <v>3142</v>
      </c>
      <c r="J588" s="21">
        <f>234829+181834</f>
        <v>416663</v>
      </c>
      <c r="K588" s="49"/>
      <c r="L588" s="49"/>
      <c r="M588" s="49"/>
      <c r="N588" s="49"/>
      <c r="O588" s="49">
        <v>134829</v>
      </c>
      <c r="P588" s="49">
        <f>100000-11000</f>
        <v>89000</v>
      </c>
      <c r="Q588" s="49">
        <v>11000</v>
      </c>
      <c r="R588" s="49"/>
      <c r="S588" s="49"/>
      <c r="T588" s="49">
        <v>60611</v>
      </c>
      <c r="U588" s="49">
        <v>60611</v>
      </c>
      <c r="V588" s="49">
        <v>60612</v>
      </c>
      <c r="W588" s="49">
        <f>285835+101063</f>
        <v>386898</v>
      </c>
      <c r="X588" s="40">
        <f t="shared" si="56"/>
        <v>29765</v>
      </c>
    </row>
    <row r="589" spans="2:24" ht="63">
      <c r="B589" s="292"/>
      <c r="C589" s="292"/>
      <c r="D589" s="289"/>
      <c r="E589" s="10" t="s">
        <v>710</v>
      </c>
      <c r="F589" s="106"/>
      <c r="G589" s="106"/>
      <c r="H589" s="227"/>
      <c r="I589" s="257">
        <v>3142</v>
      </c>
      <c r="J589" s="21">
        <f>81270+255648</f>
        <v>336918</v>
      </c>
      <c r="K589" s="49"/>
      <c r="L589" s="49"/>
      <c r="M589" s="49"/>
      <c r="N589" s="49"/>
      <c r="O589" s="49">
        <v>81270</v>
      </c>
      <c r="P589" s="49"/>
      <c r="Q589" s="49"/>
      <c r="R589" s="49"/>
      <c r="S589" s="49"/>
      <c r="T589" s="49">
        <v>85216</v>
      </c>
      <c r="U589" s="49">
        <v>85216</v>
      </c>
      <c r="V589" s="49">
        <v>85216</v>
      </c>
      <c r="W589" s="49">
        <f>165000+149668</f>
        <v>314668</v>
      </c>
      <c r="X589" s="40">
        <f t="shared" si="56"/>
        <v>22250</v>
      </c>
    </row>
    <row r="590" spans="2:24" ht="31.5">
      <c r="B590" s="292"/>
      <c r="C590" s="292"/>
      <c r="D590" s="289"/>
      <c r="E590" s="52" t="s">
        <v>543</v>
      </c>
      <c r="F590" s="106"/>
      <c r="G590" s="106"/>
      <c r="H590" s="227"/>
      <c r="I590" s="257">
        <v>3142</v>
      </c>
      <c r="J590" s="21">
        <f>90000+25000</f>
        <v>115000</v>
      </c>
      <c r="K590" s="49"/>
      <c r="L590" s="49"/>
      <c r="M590" s="49"/>
      <c r="N590" s="49"/>
      <c r="O590" s="49"/>
      <c r="P590" s="49">
        <v>5652</v>
      </c>
      <c r="Q590" s="49"/>
      <c r="R590" s="49">
        <v>40000</v>
      </c>
      <c r="S590" s="49">
        <f>44348+25000</f>
        <v>69348</v>
      </c>
      <c r="T590" s="49"/>
      <c r="U590" s="49"/>
      <c r="V590" s="49"/>
      <c r="W590" s="49">
        <f>2578.24+76975.92+33405.64+353</f>
        <v>113312.8</v>
      </c>
      <c r="X590" s="40">
        <f t="shared" si="56"/>
        <v>1687.199999999997</v>
      </c>
    </row>
    <row r="591" spans="2:24" ht="78.75">
      <c r="B591" s="292"/>
      <c r="C591" s="292"/>
      <c r="D591" s="289"/>
      <c r="E591" s="10" t="s">
        <v>892</v>
      </c>
      <c r="F591" s="106"/>
      <c r="G591" s="107"/>
      <c r="H591" s="228"/>
      <c r="I591" s="257">
        <v>3142</v>
      </c>
      <c r="J591" s="21">
        <f>200000-20000</f>
        <v>180000</v>
      </c>
      <c r="K591" s="49"/>
      <c r="L591" s="49"/>
      <c r="M591" s="49"/>
      <c r="N591" s="49"/>
      <c r="O591" s="49"/>
      <c r="P591" s="49">
        <v>11000</v>
      </c>
      <c r="Q591" s="49">
        <f>200000-11000</f>
        <v>189000</v>
      </c>
      <c r="R591" s="49"/>
      <c r="S591" s="49"/>
      <c r="T591" s="49"/>
      <c r="U591" s="49"/>
      <c r="V591" s="49">
        <v>-20000</v>
      </c>
      <c r="W591" s="49">
        <f>10603.07+58100+55309.6</f>
        <v>124012.67000000001</v>
      </c>
      <c r="X591" s="40">
        <f t="shared" si="56"/>
        <v>55987.32999999999</v>
      </c>
    </row>
    <row r="592" spans="2:24" ht="78.75">
      <c r="B592" s="292"/>
      <c r="C592" s="292"/>
      <c r="D592" s="289"/>
      <c r="E592" s="10" t="s">
        <v>443</v>
      </c>
      <c r="F592" s="109"/>
      <c r="G592" s="106"/>
      <c r="H592" s="230"/>
      <c r="I592" s="257">
        <v>3122</v>
      </c>
      <c r="J592" s="21">
        <v>49000</v>
      </c>
      <c r="K592" s="49"/>
      <c r="L592" s="49"/>
      <c r="M592" s="49"/>
      <c r="N592" s="49"/>
      <c r="O592" s="49">
        <v>25000</v>
      </c>
      <c r="P592" s="49">
        <v>24000</v>
      </c>
      <c r="Q592" s="49"/>
      <c r="R592" s="49"/>
      <c r="S592" s="49"/>
      <c r="T592" s="49"/>
      <c r="U592" s="49"/>
      <c r="V592" s="49"/>
      <c r="W592" s="49">
        <f>9285+31403.08+546.41</f>
        <v>41234.490000000005</v>
      </c>
      <c r="X592" s="40">
        <f t="shared" si="56"/>
        <v>7765.509999999995</v>
      </c>
    </row>
    <row r="593" spans="2:24" ht="78.75">
      <c r="B593" s="292"/>
      <c r="C593" s="292"/>
      <c r="D593" s="289"/>
      <c r="E593" s="10" t="s">
        <v>428</v>
      </c>
      <c r="F593" s="109"/>
      <c r="G593" s="106"/>
      <c r="H593" s="230"/>
      <c r="I593" s="257">
        <v>3122</v>
      </c>
      <c r="J593" s="21">
        <f>56300+78968</f>
        <v>135268</v>
      </c>
      <c r="K593" s="49"/>
      <c r="L593" s="49"/>
      <c r="M593" s="49"/>
      <c r="N593" s="49"/>
      <c r="O593" s="49">
        <v>25000</v>
      </c>
      <c r="P593" s="49">
        <v>31300</v>
      </c>
      <c r="Q593" s="49"/>
      <c r="R593" s="49"/>
      <c r="T593" s="49">
        <v>78968</v>
      </c>
      <c r="U593" s="49"/>
      <c r="V593" s="49"/>
      <c r="W593" s="49">
        <f>14385+57839+57839.8+2116.37</f>
        <v>132180.17</v>
      </c>
      <c r="X593" s="40">
        <f t="shared" si="56"/>
        <v>3087.829999999987</v>
      </c>
    </row>
    <row r="594" spans="2:24" ht="63">
      <c r="B594" s="292"/>
      <c r="C594" s="292"/>
      <c r="D594" s="289"/>
      <c r="E594" s="110" t="s">
        <v>307</v>
      </c>
      <c r="F594" s="109"/>
      <c r="G594" s="106"/>
      <c r="H594" s="230"/>
      <c r="I594" s="257">
        <v>3122</v>
      </c>
      <c r="J594" s="21">
        <f>227800-2753</f>
        <v>225047</v>
      </c>
      <c r="K594" s="49"/>
      <c r="L594" s="49"/>
      <c r="M594" s="49"/>
      <c r="N594" s="49"/>
      <c r="O594" s="49">
        <v>27800</v>
      </c>
      <c r="P594" s="49">
        <v>100000</v>
      </c>
      <c r="Q594" s="49">
        <v>100000</v>
      </c>
      <c r="R594" s="49"/>
      <c r="S594" s="49">
        <v>-2753</v>
      </c>
      <c r="T594" s="49"/>
      <c r="U594" s="49"/>
      <c r="V594" s="49"/>
      <c r="W594" s="49">
        <f>13885+101508+101508+2581.31</f>
        <v>219482.31</v>
      </c>
      <c r="X594" s="40">
        <f t="shared" si="56"/>
        <v>5564.690000000002</v>
      </c>
    </row>
    <row r="595" spans="2:24" ht="78.75">
      <c r="B595" s="292"/>
      <c r="C595" s="292"/>
      <c r="D595" s="289"/>
      <c r="E595" s="10" t="s">
        <v>925</v>
      </c>
      <c r="F595" s="109"/>
      <c r="G595" s="106"/>
      <c r="H595" s="230"/>
      <c r="I595" s="257">
        <v>3122</v>
      </c>
      <c r="J595" s="21">
        <f>350000-39223</f>
        <v>310777</v>
      </c>
      <c r="K595" s="49"/>
      <c r="L595" s="49"/>
      <c r="M595" s="49"/>
      <c r="N595" s="49"/>
      <c r="O595" s="49">
        <v>50000</v>
      </c>
      <c r="P595" s="49">
        <v>100000</v>
      </c>
      <c r="Q595" s="49">
        <v>100000</v>
      </c>
      <c r="R595" s="49">
        <v>100000</v>
      </c>
      <c r="S595" s="49">
        <v>-39223</v>
      </c>
      <c r="T595" s="49"/>
      <c r="U595" s="49"/>
      <c r="V595" s="49"/>
      <c r="W595" s="49">
        <f>21885+139800+139801.2+4863</f>
        <v>306349.2</v>
      </c>
      <c r="X595" s="40">
        <f t="shared" si="56"/>
        <v>4427.799999999988</v>
      </c>
    </row>
    <row r="596" spans="2:24" ht="31.5">
      <c r="B596" s="292"/>
      <c r="C596" s="292"/>
      <c r="D596" s="289"/>
      <c r="E596" s="108" t="s">
        <v>117</v>
      </c>
      <c r="F596" s="109"/>
      <c r="G596" s="106"/>
      <c r="H596" s="230"/>
      <c r="I596" s="257">
        <v>3142</v>
      </c>
      <c r="J596" s="21">
        <f>200000-10000</f>
        <v>190000</v>
      </c>
      <c r="K596" s="49"/>
      <c r="L596" s="49"/>
      <c r="M596" s="49"/>
      <c r="N596" s="49"/>
      <c r="O596" s="49">
        <v>50000</v>
      </c>
      <c r="P596" s="49"/>
      <c r="Q596" s="49"/>
      <c r="R596" s="49"/>
      <c r="S596" s="49">
        <v>50000</v>
      </c>
      <c r="T596" s="49">
        <v>100000</v>
      </c>
      <c r="U596" s="49"/>
      <c r="V596" s="49">
        <v>-10000</v>
      </c>
      <c r="W596" s="49">
        <f>35000+155000</f>
        <v>190000</v>
      </c>
      <c r="X596" s="40">
        <f t="shared" si="56"/>
        <v>0</v>
      </c>
    </row>
    <row r="597" spans="2:24" ht="47.25">
      <c r="B597" s="292"/>
      <c r="C597" s="292"/>
      <c r="D597" s="289"/>
      <c r="E597" s="108" t="s">
        <v>926</v>
      </c>
      <c r="F597" s="109"/>
      <c r="G597" s="109"/>
      <c r="H597" s="230"/>
      <c r="I597" s="257">
        <v>3122</v>
      </c>
      <c r="J597" s="21">
        <v>3000000</v>
      </c>
      <c r="K597" s="203"/>
      <c r="L597" s="203"/>
      <c r="M597" s="203"/>
      <c r="N597" s="203"/>
      <c r="O597" s="203">
        <v>119421.11</v>
      </c>
      <c r="P597" s="49">
        <v>100000</v>
      </c>
      <c r="Q597" s="203">
        <f>600000+300000-100000</f>
        <v>800000</v>
      </c>
      <c r="R597" s="203">
        <f>600000+1120846.68-299550.9</f>
        <v>1421295.7799999998</v>
      </c>
      <c r="S597" s="203">
        <v>159732.21</v>
      </c>
      <c r="T597" s="203"/>
      <c r="U597" s="203">
        <v>399550.9</v>
      </c>
      <c r="V597" s="203"/>
      <c r="W597" s="49">
        <f>825768+51306.98+56142</f>
        <v>933216.98</v>
      </c>
      <c r="X597" s="40">
        <f t="shared" si="56"/>
        <v>2066783.02</v>
      </c>
    </row>
    <row r="598" spans="2:24" ht="47.25" hidden="1">
      <c r="B598" s="292"/>
      <c r="C598" s="292"/>
      <c r="D598" s="289"/>
      <c r="E598" s="12" t="s">
        <v>927</v>
      </c>
      <c r="F598" s="109"/>
      <c r="G598" s="111"/>
      <c r="H598" s="230"/>
      <c r="I598" s="257">
        <v>3122</v>
      </c>
      <c r="J598" s="21">
        <f>150000-150000</f>
        <v>0</v>
      </c>
      <c r="K598" s="49"/>
      <c r="L598" s="49"/>
      <c r="M598" s="49"/>
      <c r="N598" s="49"/>
      <c r="O598" s="49"/>
      <c r="P598" s="49"/>
      <c r="Q598" s="49"/>
      <c r="R598" s="49"/>
      <c r="S598" s="49"/>
      <c r="T598" s="49"/>
      <c r="U598" s="49">
        <f>150000-150000</f>
        <v>0</v>
      </c>
      <c r="V598" s="49"/>
      <c r="W598" s="49"/>
      <c r="X598" s="40">
        <f t="shared" si="56"/>
        <v>0</v>
      </c>
    </row>
    <row r="599" spans="2:24" ht="47.25" hidden="1">
      <c r="B599" s="292"/>
      <c r="C599" s="292"/>
      <c r="D599" s="289"/>
      <c r="E599" s="12" t="s">
        <v>928</v>
      </c>
      <c r="F599" s="109"/>
      <c r="G599" s="111"/>
      <c r="H599" s="230"/>
      <c r="I599" s="257">
        <v>3122</v>
      </c>
      <c r="J599" s="21">
        <f>419722-419722</f>
        <v>0</v>
      </c>
      <c r="K599" s="49"/>
      <c r="L599" s="49"/>
      <c r="M599" s="49"/>
      <c r="N599" s="49"/>
      <c r="O599" s="49"/>
      <c r="P599" s="49"/>
      <c r="Q599" s="49"/>
      <c r="R599" s="49"/>
      <c r="S599" s="49"/>
      <c r="T599" s="49"/>
      <c r="U599" s="49">
        <f>419722-419722</f>
        <v>0</v>
      </c>
      <c r="V599" s="49"/>
      <c r="W599" s="49"/>
      <c r="X599" s="40">
        <f aca="true" t="shared" si="67" ref="X599:X662">J599-W599</f>
        <v>0</v>
      </c>
    </row>
    <row r="600" spans="2:24" ht="63" hidden="1">
      <c r="B600" s="292"/>
      <c r="C600" s="292"/>
      <c r="D600" s="289"/>
      <c r="E600" s="12" t="s">
        <v>929</v>
      </c>
      <c r="F600" s="109"/>
      <c r="G600" s="111"/>
      <c r="H600" s="230"/>
      <c r="I600" s="257">
        <v>3122</v>
      </c>
      <c r="J600" s="21">
        <f>42318.81-42318.81</f>
        <v>0</v>
      </c>
      <c r="K600" s="49"/>
      <c r="L600" s="49"/>
      <c r="M600" s="49"/>
      <c r="N600" s="49"/>
      <c r="O600" s="49"/>
      <c r="P600" s="49"/>
      <c r="Q600" s="49"/>
      <c r="R600" s="49"/>
      <c r="S600" s="49"/>
      <c r="T600" s="49"/>
      <c r="U600" s="49">
        <f>42318.81-42318.81</f>
        <v>0</v>
      </c>
      <c r="V600" s="49"/>
      <c r="W600" s="49"/>
      <c r="X600" s="40">
        <f t="shared" si="67"/>
        <v>0</v>
      </c>
    </row>
    <row r="601" spans="2:24" ht="63">
      <c r="B601" s="292"/>
      <c r="C601" s="292"/>
      <c r="D601" s="289"/>
      <c r="E601" s="12" t="s">
        <v>545</v>
      </c>
      <c r="F601" s="109"/>
      <c r="G601" s="111"/>
      <c r="H601" s="230"/>
      <c r="I601" s="257">
        <v>3122</v>
      </c>
      <c r="J601" s="21">
        <f>100000+100000</f>
        <v>200000</v>
      </c>
      <c r="K601" s="49"/>
      <c r="L601" s="49"/>
      <c r="M601" s="49"/>
      <c r="N601" s="49"/>
      <c r="O601" s="49"/>
      <c r="P601" s="49"/>
      <c r="Q601" s="49"/>
      <c r="R601" s="49"/>
      <c r="S601" s="49">
        <f>40000+100000</f>
        <v>140000</v>
      </c>
      <c r="T601" s="49">
        <v>60000</v>
      </c>
      <c r="U601" s="49"/>
      <c r="V601" s="49"/>
      <c r="W601" s="49">
        <f>14400+127000+3056.94+52691.4</f>
        <v>197148.34</v>
      </c>
      <c r="X601" s="40">
        <f t="shared" si="67"/>
        <v>2851.6600000000035</v>
      </c>
    </row>
    <row r="602" spans="2:24" ht="78.75" hidden="1">
      <c r="B602" s="292"/>
      <c r="C602" s="292"/>
      <c r="D602" s="289"/>
      <c r="E602" s="12" t="s">
        <v>361</v>
      </c>
      <c r="F602" s="109"/>
      <c r="G602" s="111"/>
      <c r="H602" s="230"/>
      <c r="I602" s="257">
        <v>3142</v>
      </c>
      <c r="J602" s="21">
        <f>300000-300000</f>
        <v>0</v>
      </c>
      <c r="K602" s="49"/>
      <c r="L602" s="49"/>
      <c r="M602" s="49"/>
      <c r="N602" s="49"/>
      <c r="O602" s="49"/>
      <c r="P602" s="49"/>
      <c r="Q602" s="49"/>
      <c r="R602" s="49"/>
      <c r="S602" s="49">
        <v>300000</v>
      </c>
      <c r="T602" s="49"/>
      <c r="U602" s="49">
        <v>-300000</v>
      </c>
      <c r="V602" s="49"/>
      <c r="W602" s="49"/>
      <c r="X602" s="40">
        <f t="shared" si="67"/>
        <v>0</v>
      </c>
    </row>
    <row r="603" spans="2:24" ht="94.5" hidden="1">
      <c r="B603" s="293"/>
      <c r="C603" s="293"/>
      <c r="D603" s="290"/>
      <c r="E603" s="10" t="s">
        <v>870</v>
      </c>
      <c r="F603" s="109"/>
      <c r="G603" s="111"/>
      <c r="H603" s="230"/>
      <c r="I603" s="257">
        <v>3142</v>
      </c>
      <c r="J603" s="112">
        <f>97245.97-97245.97</f>
        <v>0</v>
      </c>
      <c r="K603" s="49"/>
      <c r="L603" s="49"/>
      <c r="M603" s="49"/>
      <c r="N603" s="49"/>
      <c r="O603" s="49"/>
      <c r="P603" s="49"/>
      <c r="Q603" s="49"/>
      <c r="R603" s="49"/>
      <c r="S603" s="49"/>
      <c r="T603" s="49"/>
      <c r="U603" s="49">
        <f>97245.97-97245.97</f>
        <v>0</v>
      </c>
      <c r="V603" s="49"/>
      <c r="W603" s="49"/>
      <c r="X603" s="40">
        <f t="shared" si="67"/>
        <v>0</v>
      </c>
    </row>
    <row r="604" spans="2:24" ht="15.75">
      <c r="B604" s="302" t="s">
        <v>251</v>
      </c>
      <c r="C604" s="302" t="s">
        <v>252</v>
      </c>
      <c r="D604" s="288" t="s">
        <v>354</v>
      </c>
      <c r="E604" s="29"/>
      <c r="F604" s="14"/>
      <c r="G604" s="18"/>
      <c r="H604" s="229"/>
      <c r="I604" s="257"/>
      <c r="J604" s="210">
        <f>J605+J606</f>
        <v>32040000</v>
      </c>
      <c r="K604" s="210">
        <f aca="true" t="shared" si="68" ref="K604:W604">K605+K606</f>
        <v>0</v>
      </c>
      <c r="L604" s="210">
        <f t="shared" si="68"/>
        <v>0</v>
      </c>
      <c r="M604" s="210">
        <f t="shared" si="68"/>
        <v>0</v>
      </c>
      <c r="N604" s="210">
        <f t="shared" si="68"/>
        <v>0</v>
      </c>
      <c r="O604" s="210">
        <f t="shared" si="68"/>
        <v>0</v>
      </c>
      <c r="P604" s="210">
        <f t="shared" si="68"/>
        <v>0</v>
      </c>
      <c r="Q604" s="210">
        <f t="shared" si="68"/>
        <v>0</v>
      </c>
      <c r="R604" s="210">
        <f t="shared" si="68"/>
        <v>16016000</v>
      </c>
      <c r="S604" s="210">
        <f t="shared" si="68"/>
        <v>16032234.95</v>
      </c>
      <c r="T604" s="210">
        <f t="shared" si="68"/>
        <v>0</v>
      </c>
      <c r="U604" s="210">
        <f t="shared" si="68"/>
        <v>0</v>
      </c>
      <c r="V604" s="210">
        <f t="shared" si="68"/>
        <v>-8234.95</v>
      </c>
      <c r="W604" s="210">
        <f t="shared" si="68"/>
        <v>32040000</v>
      </c>
      <c r="X604" s="184">
        <f t="shared" si="67"/>
        <v>0</v>
      </c>
    </row>
    <row r="605" spans="2:24" ht="31.5">
      <c r="B605" s="308"/>
      <c r="C605" s="308"/>
      <c r="D605" s="289"/>
      <c r="E605" s="105" t="s">
        <v>871</v>
      </c>
      <c r="F605" s="113"/>
      <c r="G605" s="114"/>
      <c r="H605" s="228"/>
      <c r="I605" s="250">
        <v>3110</v>
      </c>
      <c r="J605" s="21">
        <f>32687234.95+95000-734000-8234.95</f>
        <v>32040000</v>
      </c>
      <c r="K605" s="49"/>
      <c r="L605" s="49"/>
      <c r="M605" s="49"/>
      <c r="N605" s="49"/>
      <c r="O605" s="49"/>
      <c r="P605" s="49"/>
      <c r="Q605" s="49"/>
      <c r="R605" s="49">
        <f>16200000-184000</f>
        <v>16016000</v>
      </c>
      <c r="S605" s="49">
        <f>16582234.95-550000</f>
        <v>16032234.95</v>
      </c>
      <c r="T605" s="49"/>
      <c r="U605" s="49"/>
      <c r="V605" s="49">
        <v>-8234.95</v>
      </c>
      <c r="W605" s="49">
        <f>9612000+22428000</f>
        <v>32040000</v>
      </c>
      <c r="X605" s="40">
        <f t="shared" si="67"/>
        <v>0</v>
      </c>
    </row>
    <row r="606" spans="2:24" ht="15.75" hidden="1">
      <c r="B606" s="303"/>
      <c r="C606" s="303"/>
      <c r="D606" s="290"/>
      <c r="E606" s="105" t="s">
        <v>872</v>
      </c>
      <c r="F606" s="113"/>
      <c r="G606" s="114"/>
      <c r="H606" s="228"/>
      <c r="I606" s="250">
        <v>3110</v>
      </c>
      <c r="J606" s="21">
        <f>400000-400000</f>
        <v>0</v>
      </c>
      <c r="K606" s="49"/>
      <c r="L606" s="49"/>
      <c r="M606" s="49"/>
      <c r="N606" s="49"/>
      <c r="O606" s="49"/>
      <c r="P606" s="49"/>
      <c r="Q606" s="49"/>
      <c r="R606" s="49">
        <f>400000-400000</f>
        <v>0</v>
      </c>
      <c r="S606" s="49"/>
      <c r="T606" s="49"/>
      <c r="U606" s="49"/>
      <c r="V606" s="49"/>
      <c r="W606" s="49"/>
      <c r="X606" s="40">
        <f t="shared" si="67"/>
        <v>0</v>
      </c>
    </row>
    <row r="607" spans="2:24" ht="15.75">
      <c r="B607" s="291" t="s">
        <v>9</v>
      </c>
      <c r="C607" s="291" t="s">
        <v>514</v>
      </c>
      <c r="D607" s="288" t="s">
        <v>10</v>
      </c>
      <c r="E607" s="29"/>
      <c r="F607" s="76"/>
      <c r="G607" s="18"/>
      <c r="H607" s="224"/>
      <c r="I607" s="255"/>
      <c r="J607" s="210">
        <f>SUM(J608:J640)</f>
        <v>22047251.490000002</v>
      </c>
      <c r="K607" s="210">
        <f aca="true" t="shared" si="69" ref="K607:W607">SUM(K608:K640)</f>
        <v>0</v>
      </c>
      <c r="L607" s="210">
        <f t="shared" si="69"/>
        <v>1236888.87</v>
      </c>
      <c r="M607" s="210">
        <f>SUM(M608:M640)</f>
        <v>0</v>
      </c>
      <c r="N607" s="210">
        <f t="shared" si="69"/>
        <v>0</v>
      </c>
      <c r="O607" s="210">
        <f t="shared" si="69"/>
        <v>3130000</v>
      </c>
      <c r="P607" s="210">
        <f t="shared" si="69"/>
        <v>950000</v>
      </c>
      <c r="Q607" s="210">
        <f t="shared" si="69"/>
        <v>3350000</v>
      </c>
      <c r="R607" s="210">
        <f t="shared" si="69"/>
        <v>3076000</v>
      </c>
      <c r="S607" s="210">
        <f t="shared" si="69"/>
        <v>8401180.79</v>
      </c>
      <c r="T607" s="210">
        <f t="shared" si="69"/>
        <v>1624941.0499999998</v>
      </c>
      <c r="U607" s="210">
        <f t="shared" si="69"/>
        <v>330000</v>
      </c>
      <c r="V607" s="210">
        <f t="shared" si="69"/>
        <v>-51759.22000000003</v>
      </c>
      <c r="W607" s="210">
        <f t="shared" si="69"/>
        <v>15123814.94</v>
      </c>
      <c r="X607" s="184">
        <f t="shared" si="67"/>
        <v>6923436.550000003</v>
      </c>
    </row>
    <row r="608" spans="2:24" ht="31.5">
      <c r="B608" s="292"/>
      <c r="C608" s="292"/>
      <c r="D608" s="289"/>
      <c r="E608" s="29" t="s">
        <v>517</v>
      </c>
      <c r="F608" s="30">
        <v>1173052</v>
      </c>
      <c r="G608" s="18">
        <f>100%-((F608-H608)/F608)</f>
        <v>0.7</v>
      </c>
      <c r="H608" s="229">
        <v>821136.4</v>
      </c>
      <c r="I608" s="257">
        <v>3132</v>
      </c>
      <c r="J608" s="9">
        <v>745220.14</v>
      </c>
      <c r="K608" s="49"/>
      <c r="L608" s="9">
        <v>745220.14</v>
      </c>
      <c r="M608" s="49"/>
      <c r="N608" s="49"/>
      <c r="O608" s="49"/>
      <c r="P608" s="49"/>
      <c r="Q608" s="49"/>
      <c r="R608" s="49"/>
      <c r="S608" s="49"/>
      <c r="T608" s="49"/>
      <c r="U608" s="49"/>
      <c r="V608" s="49"/>
      <c r="W608" s="49">
        <v>745220.14</v>
      </c>
      <c r="X608" s="40">
        <f t="shared" si="67"/>
        <v>0</v>
      </c>
    </row>
    <row r="609" spans="2:24" ht="63">
      <c r="B609" s="292"/>
      <c r="C609" s="292"/>
      <c r="D609" s="289"/>
      <c r="E609" s="12" t="s">
        <v>582</v>
      </c>
      <c r="F609" s="30"/>
      <c r="G609" s="18"/>
      <c r="H609" s="229"/>
      <c r="I609" s="257">
        <v>3132</v>
      </c>
      <c r="J609" s="9">
        <v>44077.15</v>
      </c>
      <c r="K609" s="49"/>
      <c r="L609" s="9">
        <v>44077.15</v>
      </c>
      <c r="M609" s="49"/>
      <c r="N609" s="49"/>
      <c r="O609" s="49"/>
      <c r="P609" s="49"/>
      <c r="Q609" s="49"/>
      <c r="R609" s="49"/>
      <c r="S609" s="49"/>
      <c r="T609" s="49"/>
      <c r="U609" s="49"/>
      <c r="V609" s="49"/>
      <c r="W609" s="49">
        <v>44077.15</v>
      </c>
      <c r="X609" s="40">
        <f t="shared" si="67"/>
        <v>0</v>
      </c>
    </row>
    <row r="610" spans="2:24" ht="47.25">
      <c r="B610" s="292"/>
      <c r="C610" s="292"/>
      <c r="D610" s="289"/>
      <c r="E610" s="12" t="s">
        <v>583</v>
      </c>
      <c r="F610" s="30"/>
      <c r="G610" s="18"/>
      <c r="H610" s="229"/>
      <c r="I610" s="257">
        <v>3132</v>
      </c>
      <c r="J610" s="9">
        <v>156953.04</v>
      </c>
      <c r="K610" s="49"/>
      <c r="L610" s="9">
        <v>156953.04</v>
      </c>
      <c r="M610" s="49"/>
      <c r="N610" s="49"/>
      <c r="O610" s="49"/>
      <c r="P610" s="49"/>
      <c r="Q610" s="49"/>
      <c r="R610" s="49"/>
      <c r="S610" s="49"/>
      <c r="T610" s="49"/>
      <c r="U610" s="49"/>
      <c r="V610" s="49"/>
      <c r="W610" s="49">
        <v>156953.04</v>
      </c>
      <c r="X610" s="40">
        <f t="shared" si="67"/>
        <v>0</v>
      </c>
    </row>
    <row r="611" spans="2:24" ht="47.25">
      <c r="B611" s="292"/>
      <c r="C611" s="292"/>
      <c r="D611" s="289"/>
      <c r="E611" s="12" t="s">
        <v>546</v>
      </c>
      <c r="F611" s="30"/>
      <c r="G611" s="18"/>
      <c r="H611" s="229"/>
      <c r="I611" s="257">
        <v>3132</v>
      </c>
      <c r="J611" s="9">
        <v>11559.33</v>
      </c>
      <c r="K611" s="49"/>
      <c r="L611" s="9">
        <v>11559.33</v>
      </c>
      <c r="M611" s="49"/>
      <c r="N611" s="49"/>
      <c r="O611" s="49"/>
      <c r="P611" s="49"/>
      <c r="Q611" s="49"/>
      <c r="R611" s="49"/>
      <c r="S611" s="49"/>
      <c r="T611" s="49"/>
      <c r="U611" s="49"/>
      <c r="V611" s="49"/>
      <c r="W611" s="49">
        <v>11559.33</v>
      </c>
      <c r="X611" s="40">
        <f t="shared" si="67"/>
        <v>0</v>
      </c>
    </row>
    <row r="612" spans="2:24" ht="47.25">
      <c r="B612" s="292"/>
      <c r="C612" s="292"/>
      <c r="D612" s="289"/>
      <c r="E612" s="12" t="s">
        <v>547</v>
      </c>
      <c r="F612" s="30"/>
      <c r="G612" s="18"/>
      <c r="H612" s="229"/>
      <c r="I612" s="257">
        <v>3122</v>
      </c>
      <c r="J612" s="9">
        <v>279079.21</v>
      </c>
      <c r="K612" s="49"/>
      <c r="L612" s="9">
        <v>279079.21</v>
      </c>
      <c r="M612" s="49"/>
      <c r="N612" s="49"/>
      <c r="O612" s="49"/>
      <c r="P612" s="49"/>
      <c r="Q612" s="49"/>
      <c r="R612" s="49"/>
      <c r="S612" s="49"/>
      <c r="T612" s="49"/>
      <c r="U612" s="49"/>
      <c r="V612" s="49"/>
      <c r="W612" s="49">
        <v>279079.21</v>
      </c>
      <c r="X612" s="40">
        <f t="shared" si="67"/>
        <v>0</v>
      </c>
    </row>
    <row r="613" spans="2:24" ht="15.75">
      <c r="B613" s="292"/>
      <c r="C613" s="292"/>
      <c r="D613" s="289"/>
      <c r="E613" s="325" t="s">
        <v>206</v>
      </c>
      <c r="F613" s="30"/>
      <c r="G613" s="18"/>
      <c r="H613" s="229"/>
      <c r="I613" s="334">
        <v>3142</v>
      </c>
      <c r="J613" s="263">
        <f>8909732.21</f>
        <v>8909732.21</v>
      </c>
      <c r="K613" s="264"/>
      <c r="L613" s="264">
        <f>49421.11-49421.11</f>
        <v>0</v>
      </c>
      <c r="M613" s="264">
        <f>600000-600000</f>
        <v>0</v>
      </c>
      <c r="N613" s="264">
        <f>600000-600000</f>
        <v>0</v>
      </c>
      <c r="O613" s="264">
        <f>600000-600000+100000</f>
        <v>100000</v>
      </c>
      <c r="P613" s="264">
        <f>600000-600000</f>
        <v>0</v>
      </c>
      <c r="Q613" s="264">
        <f>600000-600000+3000000</f>
        <v>3000000</v>
      </c>
      <c r="R613" s="264">
        <f>600000-600000+2300000</f>
        <v>2300000</v>
      </c>
      <c r="S613" s="264">
        <f>600000-600000+2300000</f>
        <v>2300000</v>
      </c>
      <c r="T613" s="264">
        <f>600000-109732.21+1209732.21-490267.79</f>
        <v>1209732.21</v>
      </c>
      <c r="U613" s="264"/>
      <c r="V613" s="264"/>
      <c r="W613" s="264">
        <f>91583+4850000</f>
        <v>4941583</v>
      </c>
      <c r="X613" s="40">
        <f t="shared" si="67"/>
        <v>3968149.210000001</v>
      </c>
    </row>
    <row r="614" spans="2:24" ht="15.75">
      <c r="B614" s="292"/>
      <c r="C614" s="292"/>
      <c r="D614" s="289"/>
      <c r="E614" s="326"/>
      <c r="F614" s="30"/>
      <c r="G614" s="18"/>
      <c r="H614" s="229"/>
      <c r="I614" s="335"/>
      <c r="J614" s="9">
        <f>10000000-8909732.21</f>
        <v>1090267.789999999</v>
      </c>
      <c r="K614" s="49"/>
      <c r="L614" s="49"/>
      <c r="M614" s="49"/>
      <c r="N614" s="49"/>
      <c r="O614" s="49"/>
      <c r="P614" s="49"/>
      <c r="Q614" s="49"/>
      <c r="R614" s="49"/>
      <c r="S614" s="49"/>
      <c r="T614" s="49">
        <f>490267.79-294320.16</f>
        <v>195947.63</v>
      </c>
      <c r="U614" s="49">
        <v>600000</v>
      </c>
      <c r="V614" s="49">
        <v>294320.16</v>
      </c>
      <c r="W614" s="49"/>
      <c r="X614" s="40">
        <f t="shared" si="67"/>
        <v>1090267.789999999</v>
      </c>
    </row>
    <row r="615" spans="2:24" ht="47.25">
      <c r="B615" s="292"/>
      <c r="C615" s="292"/>
      <c r="D615" s="289"/>
      <c r="E615" s="12" t="s">
        <v>858</v>
      </c>
      <c r="F615" s="109"/>
      <c r="G615" s="111"/>
      <c r="H615" s="230"/>
      <c r="I615" s="257">
        <v>3132</v>
      </c>
      <c r="J615" s="21">
        <v>100000</v>
      </c>
      <c r="K615" s="203"/>
      <c r="L615" s="203"/>
      <c r="M615" s="203"/>
      <c r="N615" s="203"/>
      <c r="O615" s="203">
        <v>100000</v>
      </c>
      <c r="P615" s="203"/>
      <c r="Q615" s="203"/>
      <c r="R615" s="203"/>
      <c r="S615" s="203"/>
      <c r="T615" s="203"/>
      <c r="U615" s="203"/>
      <c r="V615" s="203"/>
      <c r="W615" s="49">
        <f>15547+42000</f>
        <v>57547</v>
      </c>
      <c r="X615" s="40">
        <f t="shared" si="67"/>
        <v>42453</v>
      </c>
    </row>
    <row r="616" spans="2:24" ht="47.25">
      <c r="B616" s="292"/>
      <c r="C616" s="292"/>
      <c r="D616" s="289"/>
      <c r="E616" s="12" t="s">
        <v>859</v>
      </c>
      <c r="F616" s="109"/>
      <c r="G616" s="111"/>
      <c r="H616" s="230"/>
      <c r="I616" s="257">
        <v>3132</v>
      </c>
      <c r="J616" s="21">
        <f>450000-4087</f>
        <v>445913</v>
      </c>
      <c r="K616" s="203"/>
      <c r="L616" s="203"/>
      <c r="M616" s="203"/>
      <c r="N616" s="203"/>
      <c r="O616" s="203">
        <v>450000</v>
      </c>
      <c r="P616" s="203"/>
      <c r="Q616" s="203"/>
      <c r="R616" s="203">
        <f>-200000</f>
        <v>-200000</v>
      </c>
      <c r="S616" s="203">
        <f>200000-4087</f>
        <v>195913</v>
      </c>
      <c r="T616" s="203"/>
      <c r="U616" s="203"/>
      <c r="V616" s="203"/>
      <c r="W616" s="49">
        <f>17000+209206+13385.18+1283.78+197637.52</f>
        <v>438512.48</v>
      </c>
      <c r="X616" s="40">
        <f t="shared" si="67"/>
        <v>7400.520000000019</v>
      </c>
    </row>
    <row r="617" spans="2:24" ht="47.25">
      <c r="B617" s="292"/>
      <c r="C617" s="292"/>
      <c r="D617" s="289"/>
      <c r="E617" s="10" t="s">
        <v>969</v>
      </c>
      <c r="F617" s="106"/>
      <c r="G617" s="107"/>
      <c r="H617" s="230"/>
      <c r="I617" s="257">
        <v>3132</v>
      </c>
      <c r="J617" s="21">
        <f>780000+180000</f>
        <v>960000</v>
      </c>
      <c r="K617" s="201"/>
      <c r="L617" s="201"/>
      <c r="M617" s="201"/>
      <c r="N617" s="201"/>
      <c r="O617" s="201">
        <v>780000</v>
      </c>
      <c r="P617" s="201"/>
      <c r="Q617" s="201"/>
      <c r="R617" s="201">
        <f>180000</f>
        <v>180000</v>
      </c>
      <c r="S617" s="201"/>
      <c r="T617" s="201"/>
      <c r="U617" s="201"/>
      <c r="V617" s="201"/>
      <c r="W617" s="49">
        <f>595000+158794+13540.35+82605.77+58288+1041.65+4883+86.46</f>
        <v>914239.23</v>
      </c>
      <c r="X617" s="40">
        <f t="shared" si="67"/>
        <v>45760.77000000002</v>
      </c>
    </row>
    <row r="618" spans="2:24" ht="15.75">
      <c r="B618" s="292"/>
      <c r="C618" s="292"/>
      <c r="D618" s="289"/>
      <c r="E618" s="10" t="s">
        <v>390</v>
      </c>
      <c r="F618" s="109"/>
      <c r="G618" s="111"/>
      <c r="H618" s="230"/>
      <c r="I618" s="257">
        <v>3132</v>
      </c>
      <c r="J618" s="112">
        <v>120000</v>
      </c>
      <c r="K618" s="201"/>
      <c r="L618" s="201"/>
      <c r="M618" s="201"/>
      <c r="N618" s="201"/>
      <c r="O618" s="201">
        <v>120000</v>
      </c>
      <c r="P618" s="201"/>
      <c r="Q618" s="201"/>
      <c r="R618" s="201"/>
      <c r="S618" s="201"/>
      <c r="T618" s="201"/>
      <c r="U618" s="201"/>
      <c r="V618" s="201"/>
      <c r="W618" s="49">
        <f>50657.59+795.88+6031.78+91.18</f>
        <v>57576.42999999999</v>
      </c>
      <c r="X618" s="40">
        <f t="shared" si="67"/>
        <v>62423.57000000001</v>
      </c>
    </row>
    <row r="619" spans="2:24" ht="31.5">
      <c r="B619" s="292"/>
      <c r="C619" s="292"/>
      <c r="D619" s="289"/>
      <c r="E619" s="10" t="s">
        <v>890</v>
      </c>
      <c r="F619" s="109"/>
      <c r="G619" s="111"/>
      <c r="H619" s="230"/>
      <c r="I619" s="257">
        <v>3132</v>
      </c>
      <c r="J619" s="112">
        <f>260000+300000-170000</f>
        <v>390000</v>
      </c>
      <c r="K619" s="203"/>
      <c r="L619" s="203"/>
      <c r="M619" s="203"/>
      <c r="N619" s="203"/>
      <c r="O619" s="203"/>
      <c r="P619" s="203">
        <v>260000</v>
      </c>
      <c r="Q619" s="203"/>
      <c r="R619" s="203"/>
      <c r="S619" s="203">
        <v>300000</v>
      </c>
      <c r="T619" s="203"/>
      <c r="U619" s="203">
        <v>-170000</v>
      </c>
      <c r="V619" s="203"/>
      <c r="W619" s="49">
        <f>200239.2+6548.25</f>
        <v>206787.45</v>
      </c>
      <c r="X619" s="40">
        <f t="shared" si="67"/>
        <v>183212.55</v>
      </c>
    </row>
    <row r="620" spans="2:24" ht="31.5" hidden="1">
      <c r="B620" s="292"/>
      <c r="C620" s="292"/>
      <c r="D620" s="289"/>
      <c r="E620" s="10" t="s">
        <v>891</v>
      </c>
      <c r="F620" s="109"/>
      <c r="G620" s="111"/>
      <c r="H620" s="230"/>
      <c r="I620" s="257">
        <v>3132</v>
      </c>
      <c r="J620" s="112">
        <f>50000-50000</f>
        <v>0</v>
      </c>
      <c r="K620" s="203"/>
      <c r="L620" s="203"/>
      <c r="M620" s="203"/>
      <c r="N620" s="203"/>
      <c r="O620" s="203">
        <v>50000</v>
      </c>
      <c r="P620" s="203"/>
      <c r="Q620" s="203"/>
      <c r="R620" s="203"/>
      <c r="S620" s="203"/>
      <c r="T620" s="203"/>
      <c r="U620" s="203">
        <v>-50000</v>
      </c>
      <c r="V620" s="203"/>
      <c r="W620" s="49"/>
      <c r="X620" s="40">
        <f t="shared" si="67"/>
        <v>0</v>
      </c>
    </row>
    <row r="621" spans="2:24" ht="31.5">
      <c r="B621" s="292"/>
      <c r="C621" s="292"/>
      <c r="D621" s="289"/>
      <c r="E621" s="10" t="s">
        <v>310</v>
      </c>
      <c r="F621" s="109"/>
      <c r="G621" s="111"/>
      <c r="H621" s="230"/>
      <c r="I621" s="257">
        <v>3132</v>
      </c>
      <c r="J621" s="112">
        <f>1100000+115000</f>
        <v>1215000</v>
      </c>
      <c r="K621" s="201"/>
      <c r="L621" s="201"/>
      <c r="M621" s="201"/>
      <c r="N621" s="201"/>
      <c r="O621" s="201">
        <v>400000</v>
      </c>
      <c r="P621" s="201">
        <v>350000</v>
      </c>
      <c r="Q621" s="201">
        <v>350000</v>
      </c>
      <c r="R621" s="201"/>
      <c r="S621" s="201"/>
      <c r="T621" s="201">
        <v>115000</v>
      </c>
      <c r="U621" s="201"/>
      <c r="V621" s="201"/>
      <c r="W621" s="49">
        <f>734925.13+339393+18811.97+220+110967+2000+1995.49+83.42+5889</f>
        <v>1214285.0099999998</v>
      </c>
      <c r="X621" s="40">
        <f t="shared" si="67"/>
        <v>714.9900000002235</v>
      </c>
    </row>
    <row r="622" spans="2:24" ht="63" hidden="1">
      <c r="B622" s="292"/>
      <c r="C622" s="292"/>
      <c r="D622" s="289"/>
      <c r="E622" s="10" t="s">
        <v>311</v>
      </c>
      <c r="F622" s="109"/>
      <c r="G622" s="111"/>
      <c r="H622" s="230"/>
      <c r="I622" s="257">
        <v>3142</v>
      </c>
      <c r="J622" s="112">
        <f>500000-370320.16-129679.84</f>
        <v>0</v>
      </c>
      <c r="K622" s="201"/>
      <c r="L622" s="201"/>
      <c r="M622" s="201"/>
      <c r="N622" s="201"/>
      <c r="O622" s="201"/>
      <c r="P622" s="201"/>
      <c r="Q622" s="201"/>
      <c r="R622" s="201">
        <v>76000</v>
      </c>
      <c r="S622" s="201"/>
      <c r="T622" s="201">
        <f>294320.16-370320.16</f>
        <v>-76000</v>
      </c>
      <c r="U622" s="201"/>
      <c r="V622" s="201">
        <f>424000-294320.16-129679.84</f>
        <v>0</v>
      </c>
      <c r="W622" s="49"/>
      <c r="X622" s="40">
        <f t="shared" si="67"/>
        <v>0</v>
      </c>
    </row>
    <row r="623" spans="2:24" ht="63" hidden="1">
      <c r="B623" s="292"/>
      <c r="C623" s="292"/>
      <c r="D623" s="289"/>
      <c r="E623" s="10" t="s">
        <v>432</v>
      </c>
      <c r="F623" s="109"/>
      <c r="G623" s="111"/>
      <c r="H623" s="230"/>
      <c r="I623" s="257">
        <v>3132</v>
      </c>
      <c r="J623" s="112">
        <f>40000-40000</f>
        <v>0</v>
      </c>
      <c r="K623" s="203"/>
      <c r="L623" s="203"/>
      <c r="M623" s="203"/>
      <c r="N623" s="203"/>
      <c r="O623" s="203">
        <v>10000</v>
      </c>
      <c r="P623" s="203">
        <v>30000</v>
      </c>
      <c r="Q623" s="203"/>
      <c r="R623" s="203"/>
      <c r="S623" s="203">
        <v>-40000</v>
      </c>
      <c r="T623" s="203"/>
      <c r="U623" s="203"/>
      <c r="V623" s="203"/>
      <c r="W623" s="49"/>
      <c r="X623" s="40">
        <f t="shared" si="67"/>
        <v>0</v>
      </c>
    </row>
    <row r="624" spans="2:24" ht="63">
      <c r="B624" s="292"/>
      <c r="C624" s="292"/>
      <c r="D624" s="289"/>
      <c r="E624" s="10" t="s">
        <v>542</v>
      </c>
      <c r="F624" s="109"/>
      <c r="G624" s="111"/>
      <c r="H624" s="230"/>
      <c r="I624" s="257">
        <v>3132</v>
      </c>
      <c r="J624" s="112">
        <f>60000+70529</f>
        <v>130529</v>
      </c>
      <c r="K624" s="203"/>
      <c r="L624" s="203"/>
      <c r="M624" s="203"/>
      <c r="N624" s="203"/>
      <c r="O624" s="203">
        <v>15000</v>
      </c>
      <c r="P624" s="203">
        <v>45000</v>
      </c>
      <c r="Q624" s="203"/>
      <c r="R624" s="203"/>
      <c r="S624" s="203"/>
      <c r="T624" s="203">
        <v>70529</v>
      </c>
      <c r="U624" s="203"/>
      <c r="V624" s="203"/>
      <c r="W624" s="49">
        <f>74843+19713</f>
        <v>94556</v>
      </c>
      <c r="X624" s="40">
        <f t="shared" si="67"/>
        <v>35973</v>
      </c>
    </row>
    <row r="625" spans="2:24" ht="63">
      <c r="B625" s="292"/>
      <c r="C625" s="292"/>
      <c r="D625" s="289"/>
      <c r="E625" s="10" t="s">
        <v>907</v>
      </c>
      <c r="F625" s="109"/>
      <c r="G625" s="111"/>
      <c r="H625" s="230"/>
      <c r="I625" s="257">
        <v>3132</v>
      </c>
      <c r="J625" s="112">
        <f>300000+130000</f>
        <v>430000</v>
      </c>
      <c r="K625" s="203"/>
      <c r="L625" s="203"/>
      <c r="M625" s="203"/>
      <c r="N625" s="203"/>
      <c r="O625" s="203">
        <v>35000</v>
      </c>
      <c r="P625" s="203">
        <v>265000</v>
      </c>
      <c r="Q625" s="203"/>
      <c r="R625" s="203"/>
      <c r="S625" s="203">
        <v>130000</v>
      </c>
      <c r="T625" s="203"/>
      <c r="U625" s="203"/>
      <c r="V625" s="203"/>
      <c r="W625" s="49">
        <f>10833.73+240000+87497+5701.26</f>
        <v>344031.99</v>
      </c>
      <c r="X625" s="40">
        <f t="shared" si="67"/>
        <v>85968.01000000001</v>
      </c>
    </row>
    <row r="626" spans="2:24" ht="63">
      <c r="B626" s="292"/>
      <c r="C626" s="292"/>
      <c r="D626" s="289"/>
      <c r="E626" s="52" t="s">
        <v>982</v>
      </c>
      <c r="F626" s="113"/>
      <c r="G626" s="115"/>
      <c r="H626" s="228"/>
      <c r="I626" s="257">
        <v>3132</v>
      </c>
      <c r="J626" s="112">
        <f>650000-50000-150000</f>
        <v>450000</v>
      </c>
      <c r="K626" s="203"/>
      <c r="L626" s="203"/>
      <c r="M626" s="203"/>
      <c r="N626" s="203"/>
      <c r="O626" s="203">
        <v>650000</v>
      </c>
      <c r="P626" s="203"/>
      <c r="Q626" s="203"/>
      <c r="R626" s="203">
        <f>-200000</f>
        <v>-200000</v>
      </c>
      <c r="S626" s="203">
        <v>200000</v>
      </c>
      <c r="T626" s="203"/>
      <c r="U626" s="203">
        <f>-50000-150000</f>
        <v>-200000</v>
      </c>
      <c r="V626" s="203"/>
      <c r="W626" s="49">
        <f>9702.61+121416+193587.53+819+104876+1924.61+5378</f>
        <v>437703.75</v>
      </c>
      <c r="X626" s="40">
        <f t="shared" si="67"/>
        <v>12296.25</v>
      </c>
    </row>
    <row r="627" spans="2:24" ht="47.25" hidden="1">
      <c r="B627" s="292"/>
      <c r="C627" s="292"/>
      <c r="D627" s="289"/>
      <c r="E627" s="52" t="s">
        <v>433</v>
      </c>
      <c r="F627" s="113"/>
      <c r="G627" s="115"/>
      <c r="H627" s="228"/>
      <c r="I627" s="257">
        <v>3132</v>
      </c>
      <c r="J627" s="21">
        <f>250000-250000</f>
        <v>0</v>
      </c>
      <c r="K627" s="203"/>
      <c r="L627" s="203"/>
      <c r="M627" s="203"/>
      <c r="N627" s="203"/>
      <c r="O627" s="203">
        <v>250000</v>
      </c>
      <c r="P627" s="203"/>
      <c r="Q627" s="203"/>
      <c r="R627" s="203"/>
      <c r="S627" s="203">
        <v>-250000</v>
      </c>
      <c r="T627" s="203"/>
      <c r="U627" s="203"/>
      <c r="V627" s="203"/>
      <c r="W627" s="49"/>
      <c r="X627" s="40">
        <f t="shared" si="67"/>
        <v>0</v>
      </c>
    </row>
    <row r="628" spans="2:24" ht="47.25" hidden="1">
      <c r="B628" s="292"/>
      <c r="C628" s="292"/>
      <c r="D628" s="289"/>
      <c r="E628" s="52" t="s">
        <v>494</v>
      </c>
      <c r="F628" s="113"/>
      <c r="G628" s="115"/>
      <c r="H628" s="228"/>
      <c r="I628" s="257">
        <v>3132</v>
      </c>
      <c r="J628" s="21">
        <f>120000-120000</f>
        <v>0</v>
      </c>
      <c r="K628" s="203"/>
      <c r="L628" s="203"/>
      <c r="M628" s="203"/>
      <c r="N628" s="203"/>
      <c r="O628" s="203">
        <v>120000</v>
      </c>
      <c r="P628" s="203"/>
      <c r="Q628" s="203"/>
      <c r="R628" s="203"/>
      <c r="S628" s="203">
        <v>-120000</v>
      </c>
      <c r="T628" s="203"/>
      <c r="U628" s="203"/>
      <c r="V628" s="203"/>
      <c r="W628" s="49"/>
      <c r="X628" s="40">
        <f t="shared" si="67"/>
        <v>0</v>
      </c>
    </row>
    <row r="629" spans="2:24" ht="48.75" customHeight="1">
      <c r="B629" s="292"/>
      <c r="C629" s="292"/>
      <c r="D629" s="289"/>
      <c r="E629" s="52" t="s">
        <v>873</v>
      </c>
      <c r="F629" s="113"/>
      <c r="G629" s="115"/>
      <c r="H629" s="228"/>
      <c r="I629" s="257">
        <v>3132</v>
      </c>
      <c r="J629" s="21">
        <f>1120000+25000</f>
        <v>1145000</v>
      </c>
      <c r="K629" s="203"/>
      <c r="L629" s="203"/>
      <c r="M629" s="203"/>
      <c r="N629" s="203"/>
      <c r="O629" s="203"/>
      <c r="P629" s="203"/>
      <c r="Q629" s="203"/>
      <c r="R629" s="203">
        <f>520000+400000</f>
        <v>920000</v>
      </c>
      <c r="S629" s="203">
        <f>600000-400000+25000</f>
        <v>225000</v>
      </c>
      <c r="T629" s="203"/>
      <c r="U629" s="203"/>
      <c r="V629" s="203"/>
      <c r="W629" s="49">
        <f>918495.13+80990.45+91699+1666+1607.68+192.81+10831</f>
        <v>1105482.07</v>
      </c>
      <c r="X629" s="40">
        <f t="shared" si="67"/>
        <v>39517.929999999935</v>
      </c>
    </row>
    <row r="630" spans="2:24" ht="47.25">
      <c r="B630" s="292"/>
      <c r="C630" s="292"/>
      <c r="D630" s="289"/>
      <c r="E630" s="52" t="s">
        <v>744</v>
      </c>
      <c r="F630" s="113"/>
      <c r="G630" s="115"/>
      <c r="H630" s="228"/>
      <c r="I630" s="257">
        <v>3132</v>
      </c>
      <c r="J630" s="21">
        <f>550000-547000</f>
        <v>3000</v>
      </c>
      <c r="K630" s="203"/>
      <c r="L630" s="203"/>
      <c r="M630" s="203"/>
      <c r="N630" s="203"/>
      <c r="O630" s="203"/>
      <c r="P630" s="203"/>
      <c r="Q630" s="203"/>
      <c r="R630" s="203"/>
      <c r="S630" s="21">
        <v>550000</v>
      </c>
      <c r="T630" s="49"/>
      <c r="U630" s="49">
        <v>-547000</v>
      </c>
      <c r="V630" s="49"/>
      <c r="W630" s="49">
        <f>3000-3000</f>
        <v>0</v>
      </c>
      <c r="X630" s="40">
        <f t="shared" si="67"/>
        <v>3000</v>
      </c>
    </row>
    <row r="631" spans="2:24" ht="31.5">
      <c r="B631" s="292"/>
      <c r="C631" s="292"/>
      <c r="D631" s="289"/>
      <c r="E631" s="52" t="s">
        <v>544</v>
      </c>
      <c r="F631" s="113"/>
      <c r="G631" s="115"/>
      <c r="H631" s="228"/>
      <c r="I631" s="257">
        <v>3132</v>
      </c>
      <c r="J631" s="21">
        <f>1300000+370000</f>
        <v>1670000</v>
      </c>
      <c r="K631" s="49"/>
      <c r="L631" s="49"/>
      <c r="M631" s="49"/>
      <c r="N631" s="49"/>
      <c r="O631" s="49"/>
      <c r="P631" s="49"/>
      <c r="Q631" s="49"/>
      <c r="R631" s="49"/>
      <c r="S631" s="21">
        <f>1300000+370000</f>
        <v>1670000</v>
      </c>
      <c r="T631" s="49"/>
      <c r="U631" s="49"/>
      <c r="V631" s="49"/>
      <c r="W631" s="49">
        <f>575000+285173+13522.53+2704.51+646+42923+77077</f>
        <v>997046.04</v>
      </c>
      <c r="X631" s="40">
        <f t="shared" si="67"/>
        <v>672953.96</v>
      </c>
    </row>
    <row r="632" spans="2:24" ht="31.5">
      <c r="B632" s="292"/>
      <c r="C632" s="292"/>
      <c r="D632" s="289"/>
      <c r="E632" s="52" t="s">
        <v>728</v>
      </c>
      <c r="F632" s="113"/>
      <c r="G632" s="115"/>
      <c r="H632" s="228"/>
      <c r="I632" s="257">
        <v>3132</v>
      </c>
      <c r="J632" s="21">
        <v>1200000</v>
      </c>
      <c r="K632" s="203"/>
      <c r="L632" s="203"/>
      <c r="M632" s="203"/>
      <c r="N632" s="203"/>
      <c r="O632" s="203"/>
      <c r="P632" s="203"/>
      <c r="Q632" s="203"/>
      <c r="R632" s="203"/>
      <c r="S632" s="21">
        <v>1200000</v>
      </c>
      <c r="T632" s="49"/>
      <c r="U632" s="49"/>
      <c r="V632" s="49"/>
      <c r="W632" s="49">
        <f>10350+700000+24148.8+463495.97</f>
        <v>1197994.77</v>
      </c>
      <c r="X632" s="40">
        <f t="shared" si="67"/>
        <v>2005.2299999999814</v>
      </c>
    </row>
    <row r="633" spans="2:24" ht="31.5">
      <c r="B633" s="292"/>
      <c r="C633" s="292"/>
      <c r="D633" s="289"/>
      <c r="E633" s="52" t="s">
        <v>362</v>
      </c>
      <c r="F633" s="113"/>
      <c r="G633" s="115"/>
      <c r="H633" s="228"/>
      <c r="I633" s="257">
        <v>3132</v>
      </c>
      <c r="J633" s="21">
        <f>1200000+204920.62</f>
        <v>1404920.62</v>
      </c>
      <c r="K633" s="203"/>
      <c r="L633" s="203"/>
      <c r="M633" s="203"/>
      <c r="N633" s="203"/>
      <c r="O633" s="203"/>
      <c r="P633" s="203"/>
      <c r="Q633" s="203"/>
      <c r="R633" s="203"/>
      <c r="S633" s="21">
        <v>1200000</v>
      </c>
      <c r="T633" s="49"/>
      <c r="U633" s="49"/>
      <c r="V633" s="49">
        <v>204920.62</v>
      </c>
      <c r="W633" s="49">
        <f>7000+716400+455000+20714.72+113693.96</f>
        <v>1312808.68</v>
      </c>
      <c r="X633" s="40">
        <f t="shared" si="67"/>
        <v>92111.94000000018</v>
      </c>
    </row>
    <row r="634" spans="2:24" ht="47.25">
      <c r="B634" s="292"/>
      <c r="C634" s="292"/>
      <c r="D634" s="289"/>
      <c r="E634" s="52" t="s">
        <v>68</v>
      </c>
      <c r="F634" s="113"/>
      <c r="G634" s="115"/>
      <c r="H634" s="228"/>
      <c r="I634" s="257">
        <v>3132</v>
      </c>
      <c r="J634" s="21">
        <v>400000</v>
      </c>
      <c r="K634" s="203"/>
      <c r="L634" s="203"/>
      <c r="M634" s="203"/>
      <c r="N634" s="203"/>
      <c r="O634" s="203"/>
      <c r="P634" s="203"/>
      <c r="Q634" s="203"/>
      <c r="R634" s="203"/>
      <c r="S634" s="21">
        <v>400000</v>
      </c>
      <c r="T634" s="49"/>
      <c r="U634" s="49"/>
      <c r="V634" s="49"/>
      <c r="W634" s="49">
        <f>17000+279000+97110.88</f>
        <v>393110.88</v>
      </c>
      <c r="X634" s="40">
        <f t="shared" si="67"/>
        <v>6889.119999999995</v>
      </c>
    </row>
    <row r="635" spans="2:24" ht="31.5">
      <c r="B635" s="292"/>
      <c r="C635" s="292"/>
      <c r="D635" s="289"/>
      <c r="E635" s="52" t="s">
        <v>769</v>
      </c>
      <c r="F635" s="113"/>
      <c r="G635" s="115"/>
      <c r="H635" s="228"/>
      <c r="I635" s="257">
        <v>3132</v>
      </c>
      <c r="J635" s="21">
        <v>150000</v>
      </c>
      <c r="K635" s="203"/>
      <c r="L635" s="203"/>
      <c r="M635" s="203"/>
      <c r="N635" s="203"/>
      <c r="O635" s="203"/>
      <c r="P635" s="203"/>
      <c r="Q635" s="203"/>
      <c r="R635" s="203"/>
      <c r="S635" s="21"/>
      <c r="T635" s="49"/>
      <c r="U635" s="49">
        <v>150000</v>
      </c>
      <c r="V635" s="49"/>
      <c r="W635" s="49">
        <f>42000+106500</f>
        <v>148500</v>
      </c>
      <c r="X635" s="40">
        <f t="shared" si="67"/>
        <v>1500</v>
      </c>
    </row>
    <row r="636" spans="2:24" ht="31.5" hidden="1">
      <c r="B636" s="292"/>
      <c r="C636" s="292"/>
      <c r="D636" s="289"/>
      <c r="E636" s="52" t="s">
        <v>544</v>
      </c>
      <c r="F636" s="113"/>
      <c r="G636" s="115"/>
      <c r="H636" s="228"/>
      <c r="I636" s="257">
        <v>3132</v>
      </c>
      <c r="J636" s="21">
        <f>370000-370000</f>
        <v>0</v>
      </c>
      <c r="K636" s="49"/>
      <c r="L636" s="49"/>
      <c r="M636" s="49"/>
      <c r="N636" s="49"/>
      <c r="O636" s="49"/>
      <c r="P636" s="49"/>
      <c r="Q636" s="49"/>
      <c r="R636" s="49"/>
      <c r="S636" s="49">
        <f>370000-370000</f>
        <v>0</v>
      </c>
      <c r="T636" s="49"/>
      <c r="U636" s="49"/>
      <c r="V636" s="49"/>
      <c r="W636" s="49">
        <f>285173+13522.53+2704.51-285173-13522.53-2704.51</f>
        <v>3.637978807091713E-11</v>
      </c>
      <c r="X636" s="40">
        <f t="shared" si="67"/>
        <v>-3.637978807091713E-11</v>
      </c>
    </row>
    <row r="637" spans="2:24" ht="47.25">
      <c r="B637" s="292"/>
      <c r="C637" s="292"/>
      <c r="D637" s="289"/>
      <c r="E637" s="52" t="s">
        <v>30</v>
      </c>
      <c r="F637" s="113"/>
      <c r="G637" s="115"/>
      <c r="H637" s="228"/>
      <c r="I637" s="257">
        <v>3132</v>
      </c>
      <c r="J637" s="21">
        <v>97000</v>
      </c>
      <c r="K637" s="49"/>
      <c r="L637" s="49"/>
      <c r="M637" s="49"/>
      <c r="N637" s="49"/>
      <c r="O637" s="49"/>
      <c r="P637" s="49"/>
      <c r="Q637" s="49"/>
      <c r="R637" s="49"/>
      <c r="S637" s="49"/>
      <c r="T637" s="49"/>
      <c r="U637" s="49">
        <v>97000</v>
      </c>
      <c r="V637" s="49"/>
      <c r="W637" s="49"/>
      <c r="X637" s="40">
        <f t="shared" si="67"/>
        <v>97000</v>
      </c>
    </row>
    <row r="638" spans="2:24" ht="47.25">
      <c r="B638" s="292"/>
      <c r="C638" s="292"/>
      <c r="D638" s="289"/>
      <c r="E638" s="52" t="s">
        <v>31</v>
      </c>
      <c r="F638" s="113"/>
      <c r="G638" s="115"/>
      <c r="H638" s="228"/>
      <c r="I638" s="257">
        <v>3132</v>
      </c>
      <c r="J638" s="21">
        <v>200000</v>
      </c>
      <c r="K638" s="49"/>
      <c r="L638" s="49"/>
      <c r="M638" s="49"/>
      <c r="N638" s="49"/>
      <c r="O638" s="49"/>
      <c r="P638" s="49"/>
      <c r="Q638" s="49"/>
      <c r="R638" s="49"/>
      <c r="S638" s="49"/>
      <c r="T638" s="49"/>
      <c r="U638" s="49">
        <v>200000</v>
      </c>
      <c r="V638" s="49"/>
      <c r="W638" s="49">
        <f>4486+10468.29</f>
        <v>14954.29</v>
      </c>
      <c r="X638" s="40">
        <f t="shared" si="67"/>
        <v>185045.71</v>
      </c>
    </row>
    <row r="639" spans="2:24" ht="63">
      <c r="B639" s="292"/>
      <c r="C639" s="292"/>
      <c r="D639" s="289"/>
      <c r="E639" s="52" t="s">
        <v>32</v>
      </c>
      <c r="F639" s="113"/>
      <c r="G639" s="115"/>
      <c r="H639" s="228"/>
      <c r="I639" s="257">
        <v>3132</v>
      </c>
      <c r="J639" s="21">
        <v>250000</v>
      </c>
      <c r="K639" s="49"/>
      <c r="L639" s="49"/>
      <c r="M639" s="49"/>
      <c r="N639" s="49"/>
      <c r="O639" s="49"/>
      <c r="P639" s="49"/>
      <c r="Q639" s="49"/>
      <c r="R639" s="49"/>
      <c r="S639" s="49"/>
      <c r="T639" s="49"/>
      <c r="U639" s="49">
        <v>250000</v>
      </c>
      <c r="V639" s="49"/>
      <c r="W639" s="49">
        <f>3062+7145</f>
        <v>10207</v>
      </c>
      <c r="X639" s="40">
        <f t="shared" si="67"/>
        <v>239793</v>
      </c>
    </row>
    <row r="640" spans="2:24" ht="31.5">
      <c r="B640" s="293"/>
      <c r="C640" s="293"/>
      <c r="D640" s="290"/>
      <c r="E640" s="52" t="s">
        <v>495</v>
      </c>
      <c r="F640" s="113"/>
      <c r="G640" s="115"/>
      <c r="H640" s="228"/>
      <c r="I640" s="257">
        <v>3132</v>
      </c>
      <c r="J640" s="21">
        <f>600000-551000</f>
        <v>49000</v>
      </c>
      <c r="K640" s="203"/>
      <c r="L640" s="203"/>
      <c r="M640" s="203"/>
      <c r="N640" s="203"/>
      <c r="O640" s="203">
        <v>50000</v>
      </c>
      <c r="P640" s="203"/>
      <c r="Q640" s="203"/>
      <c r="R640" s="203"/>
      <c r="S640" s="203">
        <v>440267.79</v>
      </c>
      <c r="T640" s="203">
        <v>109732.21</v>
      </c>
      <c r="U640" s="203"/>
      <c r="V640" s="203">
        <v>-551000</v>
      </c>
      <c r="W640" s="49"/>
      <c r="X640" s="40">
        <f t="shared" si="67"/>
        <v>49000</v>
      </c>
    </row>
    <row r="641" spans="2:24" ht="15.75">
      <c r="B641" s="306" t="s">
        <v>483</v>
      </c>
      <c r="C641" s="306" t="s">
        <v>297</v>
      </c>
      <c r="D641" s="307" t="s">
        <v>698</v>
      </c>
      <c r="E641" s="29"/>
      <c r="F641" s="14"/>
      <c r="G641" s="18"/>
      <c r="H641" s="229"/>
      <c r="I641" s="257"/>
      <c r="J641" s="210">
        <f>J654+J684+J686+J657+J648+J651+J682+J646+J644+J642</f>
        <v>16067972.910000002</v>
      </c>
      <c r="K641" s="210">
        <f aca="true" t="shared" si="70" ref="K641:W641">K654+K684+K686+K657+K648+K651+K682+K646+K644+K642</f>
        <v>0</v>
      </c>
      <c r="L641" s="210">
        <f t="shared" si="70"/>
        <v>0</v>
      </c>
      <c r="M641" s="210">
        <f t="shared" si="70"/>
        <v>0</v>
      </c>
      <c r="N641" s="210">
        <f t="shared" si="70"/>
        <v>0</v>
      </c>
      <c r="O641" s="210">
        <f t="shared" si="70"/>
        <v>994424.8</v>
      </c>
      <c r="P641" s="210">
        <f t="shared" si="70"/>
        <v>4409759.9</v>
      </c>
      <c r="Q641" s="210">
        <f t="shared" si="70"/>
        <v>2734800</v>
      </c>
      <c r="R641" s="210">
        <f t="shared" si="70"/>
        <v>1877434</v>
      </c>
      <c r="S641" s="210">
        <f t="shared" si="70"/>
        <v>2482205</v>
      </c>
      <c r="T641" s="210">
        <f t="shared" si="70"/>
        <v>1658120.16</v>
      </c>
      <c r="U641" s="210">
        <f t="shared" si="70"/>
        <v>685800</v>
      </c>
      <c r="V641" s="210">
        <f t="shared" si="70"/>
        <v>1225429.05</v>
      </c>
      <c r="W641" s="210">
        <f t="shared" si="70"/>
        <v>13745639.03</v>
      </c>
      <c r="X641" s="184">
        <f t="shared" si="67"/>
        <v>2322333.8800000027</v>
      </c>
    </row>
    <row r="642" spans="2:24" ht="31.5">
      <c r="B642" s="306"/>
      <c r="C642" s="306"/>
      <c r="D642" s="307"/>
      <c r="E642" s="119" t="s">
        <v>239</v>
      </c>
      <c r="F642" s="14"/>
      <c r="G642" s="18"/>
      <c r="H642" s="229"/>
      <c r="I642" s="257"/>
      <c r="J642" s="26">
        <f>J643</f>
        <v>18754.7</v>
      </c>
      <c r="K642" s="26">
        <f aca="true" t="shared" si="71" ref="K642:W642">K643</f>
        <v>0</v>
      </c>
      <c r="L642" s="26">
        <f t="shared" si="71"/>
        <v>0</v>
      </c>
      <c r="M642" s="26">
        <f t="shared" si="71"/>
        <v>0</v>
      </c>
      <c r="N642" s="26">
        <f t="shared" si="71"/>
        <v>0</v>
      </c>
      <c r="O642" s="26">
        <f t="shared" si="71"/>
        <v>0</v>
      </c>
      <c r="P642" s="26">
        <f t="shared" si="71"/>
        <v>18754.7</v>
      </c>
      <c r="Q642" s="26">
        <f t="shared" si="71"/>
        <v>0</v>
      </c>
      <c r="R642" s="26">
        <f t="shared" si="71"/>
        <v>0</v>
      </c>
      <c r="S642" s="26">
        <f t="shared" si="71"/>
        <v>0</v>
      </c>
      <c r="T642" s="26">
        <f t="shared" si="71"/>
        <v>0</v>
      </c>
      <c r="U642" s="26">
        <f t="shared" si="71"/>
        <v>0</v>
      </c>
      <c r="V642" s="26">
        <f t="shared" si="71"/>
        <v>0</v>
      </c>
      <c r="W642" s="26">
        <f t="shared" si="71"/>
        <v>18754.7</v>
      </c>
      <c r="X642" s="40">
        <f t="shared" si="67"/>
        <v>0</v>
      </c>
    </row>
    <row r="643" spans="2:24" ht="47.25">
      <c r="B643" s="306"/>
      <c r="C643" s="306"/>
      <c r="D643" s="307"/>
      <c r="E643" s="10" t="s">
        <v>240</v>
      </c>
      <c r="F643" s="14"/>
      <c r="G643" s="18"/>
      <c r="H643" s="229"/>
      <c r="I643" s="257">
        <v>3210</v>
      </c>
      <c r="J643" s="9">
        <v>18754.7</v>
      </c>
      <c r="K643" s="9"/>
      <c r="L643" s="9"/>
      <c r="M643" s="9"/>
      <c r="N643" s="9"/>
      <c r="O643" s="9"/>
      <c r="P643" s="9">
        <v>18754.7</v>
      </c>
      <c r="Q643" s="9"/>
      <c r="R643" s="9"/>
      <c r="S643" s="9"/>
      <c r="T643" s="9"/>
      <c r="U643" s="9"/>
      <c r="V643" s="9"/>
      <c r="W643" s="9">
        <v>18754.7</v>
      </c>
      <c r="X643" s="40">
        <f t="shared" si="67"/>
        <v>0</v>
      </c>
    </row>
    <row r="644" spans="2:24" ht="31.5">
      <c r="B644" s="306"/>
      <c r="C644" s="306"/>
      <c r="D644" s="307"/>
      <c r="E644" s="123" t="s">
        <v>373</v>
      </c>
      <c r="F644" s="14"/>
      <c r="G644" s="18"/>
      <c r="H644" s="229"/>
      <c r="I644" s="257"/>
      <c r="J644" s="26">
        <f>J645</f>
        <v>535260.16</v>
      </c>
      <c r="K644" s="26">
        <f aca="true" t="shared" si="72" ref="K644:W644">K645</f>
        <v>0</v>
      </c>
      <c r="L644" s="26">
        <f t="shared" si="72"/>
        <v>0</v>
      </c>
      <c r="M644" s="26">
        <f t="shared" si="72"/>
        <v>0</v>
      </c>
      <c r="N644" s="26">
        <f t="shared" si="72"/>
        <v>0</v>
      </c>
      <c r="O644" s="26">
        <f t="shared" si="72"/>
        <v>0</v>
      </c>
      <c r="P644" s="26">
        <f t="shared" si="72"/>
        <v>0</v>
      </c>
      <c r="Q644" s="26">
        <f t="shared" si="72"/>
        <v>0</v>
      </c>
      <c r="R644" s="26">
        <f t="shared" si="72"/>
        <v>400000</v>
      </c>
      <c r="S644" s="26">
        <f t="shared" si="72"/>
        <v>0</v>
      </c>
      <c r="T644" s="26">
        <f t="shared" si="72"/>
        <v>255320.16</v>
      </c>
      <c r="U644" s="26">
        <f t="shared" si="72"/>
        <v>0</v>
      </c>
      <c r="V644" s="26">
        <f t="shared" si="72"/>
        <v>-120060</v>
      </c>
      <c r="W644" s="26">
        <f t="shared" si="72"/>
        <v>535260.16</v>
      </c>
      <c r="X644" s="40">
        <f t="shared" si="67"/>
        <v>0</v>
      </c>
    </row>
    <row r="645" spans="2:24" ht="15.75">
      <c r="B645" s="306"/>
      <c r="C645" s="306"/>
      <c r="D645" s="307"/>
      <c r="E645" s="12" t="s">
        <v>392</v>
      </c>
      <c r="F645" s="14"/>
      <c r="G645" s="18"/>
      <c r="H645" s="229"/>
      <c r="I645" s="257">
        <v>3210</v>
      </c>
      <c r="J645" s="9">
        <f>400000+255320.16+15940-136000</f>
        <v>535260.16</v>
      </c>
      <c r="K645" s="9"/>
      <c r="L645" s="9"/>
      <c r="M645" s="9"/>
      <c r="N645" s="9"/>
      <c r="O645" s="9"/>
      <c r="P645" s="9"/>
      <c r="Q645" s="9"/>
      <c r="R645" s="9">
        <v>400000</v>
      </c>
      <c r="S645" s="9"/>
      <c r="T645" s="9">
        <v>255320.16</v>
      </c>
      <c r="U645" s="9"/>
      <c r="V645" s="9">
        <f>15940-136000</f>
        <v>-120060</v>
      </c>
      <c r="W645" s="9">
        <f>8520+336246.4+190493.76</f>
        <v>535260.16</v>
      </c>
      <c r="X645" s="40">
        <f t="shared" si="67"/>
        <v>0</v>
      </c>
    </row>
    <row r="646" spans="2:24" ht="31.5">
      <c r="B646" s="306"/>
      <c r="C646" s="306"/>
      <c r="D646" s="307"/>
      <c r="E646" s="116" t="s">
        <v>981</v>
      </c>
      <c r="F646" s="37"/>
      <c r="G646" s="84"/>
      <c r="H646" s="231"/>
      <c r="I646" s="258"/>
      <c r="J646" s="117">
        <f>J647</f>
        <v>1930000</v>
      </c>
      <c r="K646" s="117">
        <f aca="true" t="shared" si="73" ref="K646:W646">K647</f>
        <v>0</v>
      </c>
      <c r="L646" s="117">
        <f t="shared" si="73"/>
        <v>0</v>
      </c>
      <c r="M646" s="117">
        <f t="shared" si="73"/>
        <v>0</v>
      </c>
      <c r="N646" s="117">
        <f t="shared" si="73"/>
        <v>0</v>
      </c>
      <c r="O646" s="117">
        <f t="shared" si="73"/>
        <v>0</v>
      </c>
      <c r="P646" s="117">
        <f t="shared" si="73"/>
        <v>50000</v>
      </c>
      <c r="Q646" s="117">
        <f t="shared" si="73"/>
        <v>310000</v>
      </c>
      <c r="R646" s="117">
        <f t="shared" si="73"/>
        <v>310000</v>
      </c>
      <c r="S646" s="117">
        <f t="shared" si="73"/>
        <v>640000</v>
      </c>
      <c r="T646" s="117">
        <f t="shared" si="73"/>
        <v>310000</v>
      </c>
      <c r="U646" s="117">
        <f t="shared" si="73"/>
        <v>310000</v>
      </c>
      <c r="V646" s="117">
        <f t="shared" si="73"/>
        <v>0</v>
      </c>
      <c r="W646" s="117">
        <f t="shared" si="73"/>
        <v>1929993.6</v>
      </c>
      <c r="X646" s="40">
        <f t="shared" si="67"/>
        <v>6.399999999906868</v>
      </c>
    </row>
    <row r="647" spans="2:24" ht="63">
      <c r="B647" s="306"/>
      <c r="C647" s="306"/>
      <c r="D647" s="307"/>
      <c r="E647" s="29" t="s">
        <v>167</v>
      </c>
      <c r="F647" s="14"/>
      <c r="G647" s="18"/>
      <c r="H647" s="229"/>
      <c r="I647" s="257">
        <v>3210</v>
      </c>
      <c r="J647" s="9">
        <f>1600000+330000</f>
        <v>1930000</v>
      </c>
      <c r="K647" s="49"/>
      <c r="L647" s="49"/>
      <c r="M647" s="49"/>
      <c r="N647" s="49"/>
      <c r="O647" s="49"/>
      <c r="P647" s="49">
        <v>50000</v>
      </c>
      <c r="Q647" s="49">
        <v>310000</v>
      </c>
      <c r="R647" s="49">
        <v>310000</v>
      </c>
      <c r="S647" s="49">
        <f>310000+330000</f>
        <v>640000</v>
      </c>
      <c r="T647" s="49">
        <v>310000</v>
      </c>
      <c r="U647" s="49">
        <v>310000</v>
      </c>
      <c r="V647" s="49"/>
      <c r="W647" s="49">
        <f>360000+3570+209082+22183.2+795247.2+182686.8+357224.4</f>
        <v>1929993.6</v>
      </c>
      <c r="X647" s="40">
        <f t="shared" si="67"/>
        <v>6.399999999906868</v>
      </c>
    </row>
    <row r="648" spans="2:24" ht="31.5">
      <c r="B648" s="306"/>
      <c r="C648" s="306"/>
      <c r="D648" s="307"/>
      <c r="E648" s="116" t="s">
        <v>304</v>
      </c>
      <c r="F648" s="14"/>
      <c r="G648" s="18"/>
      <c r="H648" s="229"/>
      <c r="I648" s="257"/>
      <c r="J648" s="26">
        <f>SUM(J649:J650)</f>
        <v>78800</v>
      </c>
      <c r="K648" s="26">
        <f aca="true" t="shared" si="74" ref="K648:W648">SUM(K649:K650)</f>
        <v>0</v>
      </c>
      <c r="L648" s="26">
        <f t="shared" si="74"/>
        <v>0</v>
      </c>
      <c r="M648" s="26">
        <f t="shared" si="74"/>
        <v>0</v>
      </c>
      <c r="N648" s="26">
        <f t="shared" si="74"/>
        <v>0</v>
      </c>
      <c r="O648" s="26">
        <f t="shared" si="74"/>
        <v>0</v>
      </c>
      <c r="P648" s="26">
        <f t="shared" si="74"/>
        <v>0</v>
      </c>
      <c r="Q648" s="26">
        <f t="shared" si="74"/>
        <v>78800</v>
      </c>
      <c r="R648" s="26">
        <f t="shared" si="74"/>
        <v>0</v>
      </c>
      <c r="S648" s="26">
        <f t="shared" si="74"/>
        <v>0</v>
      </c>
      <c r="T648" s="26">
        <f t="shared" si="74"/>
        <v>0</v>
      </c>
      <c r="U648" s="26">
        <f t="shared" si="74"/>
        <v>0</v>
      </c>
      <c r="V648" s="26">
        <f t="shared" si="74"/>
        <v>0</v>
      </c>
      <c r="W648" s="26">
        <f t="shared" si="74"/>
        <v>78800</v>
      </c>
      <c r="X648" s="40">
        <f t="shared" si="67"/>
        <v>0</v>
      </c>
    </row>
    <row r="649" spans="2:24" ht="47.25">
      <c r="B649" s="306"/>
      <c r="C649" s="306"/>
      <c r="D649" s="307"/>
      <c r="E649" s="10" t="s">
        <v>305</v>
      </c>
      <c r="F649" s="14"/>
      <c r="G649" s="18"/>
      <c r="H649" s="229"/>
      <c r="I649" s="257">
        <v>3210</v>
      </c>
      <c r="J649" s="21">
        <v>39400</v>
      </c>
      <c r="K649" s="49"/>
      <c r="L649" s="49"/>
      <c r="M649" s="49"/>
      <c r="N649" s="49"/>
      <c r="O649" s="49"/>
      <c r="P649" s="49"/>
      <c r="Q649" s="49">
        <v>39400</v>
      </c>
      <c r="R649" s="49"/>
      <c r="S649" s="49"/>
      <c r="T649" s="49"/>
      <c r="U649" s="49"/>
      <c r="V649" s="49"/>
      <c r="W649" s="49">
        <v>39400</v>
      </c>
      <c r="X649" s="40">
        <f t="shared" si="67"/>
        <v>0</v>
      </c>
    </row>
    <row r="650" spans="2:24" ht="47.25">
      <c r="B650" s="306"/>
      <c r="C650" s="306"/>
      <c r="D650" s="307"/>
      <c r="E650" s="118" t="s">
        <v>938</v>
      </c>
      <c r="F650" s="14"/>
      <c r="G650" s="18"/>
      <c r="H650" s="229"/>
      <c r="I650" s="257">
        <v>3210</v>
      </c>
      <c r="J650" s="21">
        <v>39400</v>
      </c>
      <c r="K650" s="49"/>
      <c r="L650" s="49"/>
      <c r="M650" s="49"/>
      <c r="N650" s="49"/>
      <c r="O650" s="49"/>
      <c r="P650" s="49"/>
      <c r="Q650" s="49">
        <v>39400</v>
      </c>
      <c r="R650" s="49"/>
      <c r="S650" s="49"/>
      <c r="T650" s="49"/>
      <c r="U650" s="49"/>
      <c r="V650" s="49"/>
      <c r="W650" s="49">
        <v>39400</v>
      </c>
      <c r="X650" s="40">
        <f t="shared" si="67"/>
        <v>0</v>
      </c>
    </row>
    <row r="651" spans="2:24" ht="31.5">
      <c r="B651" s="306"/>
      <c r="C651" s="306"/>
      <c r="D651" s="307"/>
      <c r="E651" s="119" t="s">
        <v>939</v>
      </c>
      <c r="F651" s="14"/>
      <c r="G651" s="18"/>
      <c r="H651" s="229"/>
      <c r="I651" s="257"/>
      <c r="J651" s="77">
        <f>SUM(J652:J653)</f>
        <v>254434</v>
      </c>
      <c r="K651" s="77">
        <f aca="true" t="shared" si="75" ref="K651:W651">SUM(K652:K653)</f>
        <v>0</v>
      </c>
      <c r="L651" s="77">
        <f t="shared" si="75"/>
        <v>0</v>
      </c>
      <c r="M651" s="77">
        <f t="shared" si="75"/>
        <v>0</v>
      </c>
      <c r="N651" s="77">
        <f t="shared" si="75"/>
        <v>0</v>
      </c>
      <c r="O651" s="77">
        <f t="shared" si="75"/>
        <v>0</v>
      </c>
      <c r="P651" s="77">
        <f t="shared" si="75"/>
        <v>0</v>
      </c>
      <c r="Q651" s="77">
        <f t="shared" si="75"/>
        <v>0</v>
      </c>
      <c r="R651" s="77">
        <f t="shared" si="75"/>
        <v>26934</v>
      </c>
      <c r="S651" s="77">
        <f t="shared" si="75"/>
        <v>75900</v>
      </c>
      <c r="T651" s="77">
        <f t="shared" si="75"/>
        <v>75800</v>
      </c>
      <c r="U651" s="77">
        <f t="shared" si="75"/>
        <v>75800</v>
      </c>
      <c r="V651" s="77">
        <f t="shared" si="75"/>
        <v>0</v>
      </c>
      <c r="W651" s="77">
        <f t="shared" si="75"/>
        <v>252824.04</v>
      </c>
      <c r="X651" s="40">
        <f t="shared" si="67"/>
        <v>1609.9599999999919</v>
      </c>
    </row>
    <row r="652" spans="2:24" ht="47.25">
      <c r="B652" s="306"/>
      <c r="C652" s="306"/>
      <c r="D652" s="307"/>
      <c r="E652" s="10" t="s">
        <v>62</v>
      </c>
      <c r="F652" s="14"/>
      <c r="G652" s="18"/>
      <c r="H652" s="229"/>
      <c r="I652" s="257">
        <v>3210</v>
      </c>
      <c r="J652" s="21">
        <v>240000</v>
      </c>
      <c r="K652" s="49"/>
      <c r="L652" s="49"/>
      <c r="M652" s="49"/>
      <c r="N652" s="49"/>
      <c r="O652" s="49"/>
      <c r="P652" s="49"/>
      <c r="Q652" s="49"/>
      <c r="R652" s="49">
        <v>12500</v>
      </c>
      <c r="S652" s="49">
        <v>75900</v>
      </c>
      <c r="T652" s="49">
        <v>75800</v>
      </c>
      <c r="U652" s="49">
        <v>75800</v>
      </c>
      <c r="V652" s="49"/>
      <c r="W652" s="49">
        <f>13599.04+110147+114644</f>
        <v>238390.04</v>
      </c>
      <c r="X652" s="40">
        <f t="shared" si="67"/>
        <v>1609.9599999999919</v>
      </c>
    </row>
    <row r="653" spans="2:24" ht="31.5">
      <c r="B653" s="306"/>
      <c r="C653" s="306"/>
      <c r="D653" s="307"/>
      <c r="E653" s="10" t="s">
        <v>381</v>
      </c>
      <c r="F653" s="14"/>
      <c r="G653" s="18"/>
      <c r="H653" s="229"/>
      <c r="I653" s="257">
        <v>3210</v>
      </c>
      <c r="J653" s="21">
        <v>14434</v>
      </c>
      <c r="K653" s="201"/>
      <c r="L653" s="201"/>
      <c r="M653" s="201"/>
      <c r="N653" s="201"/>
      <c r="O653" s="201"/>
      <c r="P653" s="201"/>
      <c r="Q653" s="201"/>
      <c r="R653" s="201">
        <v>14434</v>
      </c>
      <c r="S653" s="201"/>
      <c r="T653" s="201"/>
      <c r="U653" s="201"/>
      <c r="V653" s="201"/>
      <c r="W653" s="49">
        <v>14434</v>
      </c>
      <c r="X653" s="40">
        <f t="shared" si="67"/>
        <v>0</v>
      </c>
    </row>
    <row r="654" spans="2:24" ht="31.5">
      <c r="B654" s="306"/>
      <c r="C654" s="306"/>
      <c r="D654" s="307"/>
      <c r="E654" s="39" t="s">
        <v>908</v>
      </c>
      <c r="F654" s="120"/>
      <c r="G654" s="120"/>
      <c r="H654" s="232"/>
      <c r="I654" s="257"/>
      <c r="J654" s="40">
        <f>SUM(J655:J656)</f>
        <v>402484</v>
      </c>
      <c r="K654" s="40">
        <f aca="true" t="shared" si="76" ref="K654:W654">SUM(K655:K656)</f>
        <v>0</v>
      </c>
      <c r="L654" s="40">
        <f t="shared" si="76"/>
        <v>0</v>
      </c>
      <c r="M654" s="40">
        <f t="shared" si="76"/>
        <v>0</v>
      </c>
      <c r="N654" s="40">
        <f t="shared" si="76"/>
        <v>0</v>
      </c>
      <c r="O654" s="40">
        <f t="shared" si="76"/>
        <v>207124.8</v>
      </c>
      <c r="P654" s="40">
        <f t="shared" si="76"/>
        <v>242875.2</v>
      </c>
      <c r="Q654" s="40">
        <f t="shared" si="76"/>
        <v>0</v>
      </c>
      <c r="R654" s="40">
        <f t="shared" si="76"/>
        <v>0</v>
      </c>
      <c r="S654" s="40">
        <f t="shared" si="76"/>
        <v>0</v>
      </c>
      <c r="T654" s="40">
        <f t="shared" si="76"/>
        <v>0</v>
      </c>
      <c r="U654" s="40">
        <f t="shared" si="76"/>
        <v>0</v>
      </c>
      <c r="V654" s="40">
        <f t="shared" si="76"/>
        <v>-47516</v>
      </c>
      <c r="W654" s="40">
        <f t="shared" si="76"/>
        <v>299484</v>
      </c>
      <c r="X654" s="40">
        <f t="shared" si="67"/>
        <v>103000</v>
      </c>
    </row>
    <row r="655" spans="2:24" ht="31.5">
      <c r="B655" s="306"/>
      <c r="C655" s="306"/>
      <c r="D655" s="307"/>
      <c r="E655" s="121" t="s">
        <v>909</v>
      </c>
      <c r="F655" s="113"/>
      <c r="G655" s="109"/>
      <c r="H655" s="233"/>
      <c r="I655" s="257">
        <v>3210</v>
      </c>
      <c r="J655" s="122">
        <f>300000-516</f>
        <v>299484</v>
      </c>
      <c r="K655" s="49"/>
      <c r="L655" s="49"/>
      <c r="M655" s="49"/>
      <c r="N655" s="49"/>
      <c r="O655" s="49">
        <v>132124.8</v>
      </c>
      <c r="P655" s="49">
        <v>167875.2</v>
      </c>
      <c r="Q655" s="49"/>
      <c r="R655" s="49"/>
      <c r="S655" s="49"/>
      <c r="T655" s="49"/>
      <c r="U655" s="49"/>
      <c r="V655" s="49">
        <v>-516</v>
      </c>
      <c r="W655" s="49">
        <f>132124.8+94017.6+68486.4+4855.2</f>
        <v>299484</v>
      </c>
      <c r="X655" s="40">
        <f t="shared" si="67"/>
        <v>0</v>
      </c>
    </row>
    <row r="656" spans="2:24" ht="63">
      <c r="B656" s="306"/>
      <c r="C656" s="306"/>
      <c r="D656" s="307"/>
      <c r="E656" s="12" t="s">
        <v>910</v>
      </c>
      <c r="F656" s="113"/>
      <c r="G656" s="109"/>
      <c r="H656" s="234"/>
      <c r="I656" s="257">
        <v>3210</v>
      </c>
      <c r="J656" s="21">
        <f>150000-47000</f>
        <v>103000</v>
      </c>
      <c r="K656" s="49"/>
      <c r="L656" s="49"/>
      <c r="M656" s="49"/>
      <c r="N656" s="49"/>
      <c r="O656" s="49">
        <v>75000</v>
      </c>
      <c r="P656" s="49">
        <v>75000</v>
      </c>
      <c r="Q656" s="49"/>
      <c r="R656" s="49"/>
      <c r="S656" s="49"/>
      <c r="T656" s="49"/>
      <c r="U656" s="49"/>
      <c r="V656" s="49">
        <v>-47000</v>
      </c>
      <c r="W656" s="49"/>
      <c r="X656" s="40">
        <f t="shared" si="67"/>
        <v>103000</v>
      </c>
    </row>
    <row r="657" spans="2:24" ht="31.5">
      <c r="B657" s="306"/>
      <c r="C657" s="306"/>
      <c r="D657" s="307"/>
      <c r="E657" s="123" t="s">
        <v>911</v>
      </c>
      <c r="F657" s="124"/>
      <c r="G657" s="125"/>
      <c r="H657" s="235"/>
      <c r="I657" s="257"/>
      <c r="J657" s="77">
        <f>SUM(J658:J681)</f>
        <v>11479311.050000003</v>
      </c>
      <c r="K657" s="77">
        <f aca="true" t="shared" si="77" ref="K657:W657">SUM(K658:K681)</f>
        <v>0</v>
      </c>
      <c r="L657" s="77">
        <f t="shared" si="77"/>
        <v>0</v>
      </c>
      <c r="M657" s="77">
        <f>SUM(M658:M681)</f>
        <v>0</v>
      </c>
      <c r="N657" s="77">
        <f t="shared" si="77"/>
        <v>0</v>
      </c>
      <c r="O657" s="77">
        <f>SUM(O658:O681)</f>
        <v>506100</v>
      </c>
      <c r="P657" s="77">
        <f t="shared" si="77"/>
        <v>3754300</v>
      </c>
      <c r="Q657" s="77">
        <f t="shared" si="77"/>
        <v>1846000</v>
      </c>
      <c r="R657" s="77">
        <f>SUM(R658:R681)</f>
        <v>990500</v>
      </c>
      <c r="S657" s="77">
        <f t="shared" si="77"/>
        <v>1697305</v>
      </c>
      <c r="T657" s="77">
        <f t="shared" si="77"/>
        <v>1017000</v>
      </c>
      <c r="U657" s="77">
        <f t="shared" si="77"/>
        <v>260000</v>
      </c>
      <c r="V657" s="77">
        <f t="shared" si="77"/>
        <v>1408106.05</v>
      </c>
      <c r="W657" s="77">
        <f t="shared" si="77"/>
        <v>9767136.55</v>
      </c>
      <c r="X657" s="40">
        <f t="shared" si="67"/>
        <v>1712174.5000000019</v>
      </c>
    </row>
    <row r="658" spans="2:24" ht="63">
      <c r="B658" s="306"/>
      <c r="C658" s="306"/>
      <c r="D658" s="307"/>
      <c r="E658" s="12" t="s">
        <v>944</v>
      </c>
      <c r="F658" s="12"/>
      <c r="G658" s="12"/>
      <c r="H658" s="236"/>
      <c r="I658" s="257">
        <v>3210</v>
      </c>
      <c r="J658" s="21">
        <f>250000-113000-2471.6</f>
        <v>134528.4</v>
      </c>
      <c r="K658" s="49"/>
      <c r="L658" s="49"/>
      <c r="M658" s="49"/>
      <c r="N658" s="49"/>
      <c r="O658" s="49"/>
      <c r="P658" s="49"/>
      <c r="Q658" s="49">
        <v>250000</v>
      </c>
      <c r="R658" s="49"/>
      <c r="S658" s="49"/>
      <c r="T658" s="49">
        <v>-113000</v>
      </c>
      <c r="U658" s="49"/>
      <c r="V658" s="49">
        <v>-2471.6</v>
      </c>
      <c r="W658" s="49">
        <f>89971.2+5805.6+38751.6</f>
        <v>134528.4</v>
      </c>
      <c r="X658" s="40">
        <f t="shared" si="67"/>
        <v>0</v>
      </c>
    </row>
    <row r="659" spans="2:24" ht="78.75">
      <c r="B659" s="306"/>
      <c r="C659" s="306"/>
      <c r="D659" s="307"/>
      <c r="E659" s="12" t="s">
        <v>380</v>
      </c>
      <c r="F659" s="12"/>
      <c r="G659" s="12"/>
      <c r="H659" s="236"/>
      <c r="I659" s="257">
        <v>3210</v>
      </c>
      <c r="J659" s="21">
        <f>700000+100000+100000-4437.12</f>
        <v>895562.88</v>
      </c>
      <c r="K659" s="49"/>
      <c r="L659" s="49"/>
      <c r="M659" s="49"/>
      <c r="N659" s="49"/>
      <c r="O659" s="49"/>
      <c r="P659" s="49">
        <v>700000</v>
      </c>
      <c r="Q659" s="49"/>
      <c r="R659" s="49">
        <f>100000</f>
        <v>100000</v>
      </c>
      <c r="S659" s="49"/>
      <c r="T659" s="49">
        <v>100000</v>
      </c>
      <c r="U659" s="49"/>
      <c r="V659" s="49">
        <v>-4437.12</v>
      </c>
      <c r="W659" s="49">
        <f>10164.48+789643.2+95755.2</f>
        <v>895562.8799999999</v>
      </c>
      <c r="X659" s="40">
        <f t="shared" si="67"/>
        <v>0</v>
      </c>
    </row>
    <row r="660" spans="2:24" ht="47.25">
      <c r="B660" s="306"/>
      <c r="C660" s="306"/>
      <c r="D660" s="307"/>
      <c r="E660" s="24" t="s">
        <v>334</v>
      </c>
      <c r="F660" s="109"/>
      <c r="G660" s="109"/>
      <c r="H660" s="230"/>
      <c r="I660" s="257">
        <v>3210</v>
      </c>
      <c r="J660" s="21">
        <f>89480+15000-59.89</f>
        <v>104420.11</v>
      </c>
      <c r="K660" s="49"/>
      <c r="L660" s="49"/>
      <c r="M660" s="49"/>
      <c r="N660" s="49"/>
      <c r="O660" s="49"/>
      <c r="P660" s="49"/>
      <c r="Q660" s="49"/>
      <c r="R660" s="49"/>
      <c r="S660" s="49">
        <v>89480</v>
      </c>
      <c r="T660" s="49">
        <v>15000</v>
      </c>
      <c r="U660" s="49"/>
      <c r="V660" s="49">
        <v>-59.89</v>
      </c>
      <c r="W660" s="49">
        <f>104420.11</f>
        <v>104420.11</v>
      </c>
      <c r="X660" s="40">
        <f t="shared" si="67"/>
        <v>0</v>
      </c>
    </row>
    <row r="661" spans="2:24" ht="63">
      <c r="B661" s="306"/>
      <c r="C661" s="306"/>
      <c r="D661" s="307"/>
      <c r="E661" s="24" t="s">
        <v>335</v>
      </c>
      <c r="F661" s="109"/>
      <c r="G661" s="109"/>
      <c r="H661" s="230"/>
      <c r="I661" s="257">
        <v>3210</v>
      </c>
      <c r="J661" s="21">
        <f>289000-95000-32349.28</f>
        <v>161650.72</v>
      </c>
      <c r="K661" s="49"/>
      <c r="L661" s="49"/>
      <c r="M661" s="49"/>
      <c r="N661" s="49"/>
      <c r="O661" s="49"/>
      <c r="P661" s="49"/>
      <c r="Q661" s="49"/>
      <c r="R661" s="49"/>
      <c r="S661" s="49">
        <v>289000</v>
      </c>
      <c r="T661" s="49">
        <v>-95000</v>
      </c>
      <c r="U661" s="49"/>
      <c r="V661" s="49">
        <v>-32349.28</v>
      </c>
      <c r="W661" s="49">
        <f>109938+6752.32+44960.4</f>
        <v>161650.72</v>
      </c>
      <c r="X661" s="40">
        <f t="shared" si="67"/>
        <v>0</v>
      </c>
    </row>
    <row r="662" spans="2:24" ht="63">
      <c r="B662" s="306"/>
      <c r="C662" s="306"/>
      <c r="D662" s="307"/>
      <c r="E662" s="12" t="s">
        <v>236</v>
      </c>
      <c r="F662" s="109"/>
      <c r="G662" s="106"/>
      <c r="H662" s="230"/>
      <c r="I662" s="257">
        <v>3210</v>
      </c>
      <c r="J662" s="21">
        <v>380000</v>
      </c>
      <c r="K662" s="49"/>
      <c r="L662" s="49"/>
      <c r="M662" s="49"/>
      <c r="N662" s="49"/>
      <c r="O662" s="49"/>
      <c r="P662" s="49"/>
      <c r="Q662" s="49">
        <v>380000</v>
      </c>
      <c r="R662" s="49"/>
      <c r="S662" s="49"/>
      <c r="T662" s="49"/>
      <c r="U662" s="49"/>
      <c r="V662" s="49"/>
      <c r="W662" s="49">
        <v>337912.38</v>
      </c>
      <c r="X662" s="40">
        <f t="shared" si="67"/>
        <v>42087.619999999995</v>
      </c>
    </row>
    <row r="663" spans="2:24" ht="63">
      <c r="B663" s="306"/>
      <c r="C663" s="306"/>
      <c r="D663" s="307"/>
      <c r="E663" s="24" t="s">
        <v>220</v>
      </c>
      <c r="F663" s="109"/>
      <c r="G663" s="109"/>
      <c r="H663" s="230"/>
      <c r="I663" s="257">
        <v>3210</v>
      </c>
      <c r="J663" s="21">
        <f>170000-40000-4873.44</f>
        <v>125126.56</v>
      </c>
      <c r="K663" s="49"/>
      <c r="L663" s="49"/>
      <c r="M663" s="49"/>
      <c r="N663" s="49"/>
      <c r="O663" s="49"/>
      <c r="P663" s="49"/>
      <c r="Q663" s="49">
        <v>170000</v>
      </c>
      <c r="R663" s="49"/>
      <c r="S663" s="49"/>
      <c r="T663" s="49"/>
      <c r="U663" s="49">
        <v>-40000</v>
      </c>
      <c r="V663" s="49">
        <v>-4873.44</v>
      </c>
      <c r="W663" s="49">
        <f>6572.56+87596.4+30957.6</f>
        <v>125126.56</v>
      </c>
      <c r="X663" s="40">
        <f aca="true" t="shared" si="78" ref="X663:X726">J663-W663</f>
        <v>0</v>
      </c>
    </row>
    <row r="664" spans="2:24" ht="47.25">
      <c r="B664" s="306"/>
      <c r="C664" s="306"/>
      <c r="D664" s="307"/>
      <c r="E664" s="24" t="s">
        <v>259</v>
      </c>
      <c r="F664" s="109"/>
      <c r="G664" s="109"/>
      <c r="H664" s="230"/>
      <c r="I664" s="257">
        <v>3210</v>
      </c>
      <c r="J664" s="21">
        <f>100000-5548.44</f>
        <v>94451.56</v>
      </c>
      <c r="K664" s="49"/>
      <c r="L664" s="49"/>
      <c r="M664" s="49"/>
      <c r="N664" s="49"/>
      <c r="O664" s="49">
        <v>100000</v>
      </c>
      <c r="P664" s="49"/>
      <c r="Q664" s="49"/>
      <c r="R664" s="49"/>
      <c r="S664" s="49"/>
      <c r="T664" s="49"/>
      <c r="U664" s="49"/>
      <c r="V664" s="49">
        <v>-5548.44</v>
      </c>
      <c r="W664" s="49">
        <f>94451.56</f>
        <v>94451.56</v>
      </c>
      <c r="X664" s="40">
        <f t="shared" si="78"/>
        <v>0</v>
      </c>
    </row>
    <row r="665" spans="2:24" ht="47.25">
      <c r="B665" s="306"/>
      <c r="C665" s="306"/>
      <c r="D665" s="307"/>
      <c r="E665" s="24" t="s">
        <v>260</v>
      </c>
      <c r="F665" s="109"/>
      <c r="G665" s="109"/>
      <c r="H665" s="230"/>
      <c r="I665" s="257">
        <v>3210</v>
      </c>
      <c r="J665" s="21">
        <v>500000</v>
      </c>
      <c r="K665" s="49"/>
      <c r="L665" s="49"/>
      <c r="M665" s="49"/>
      <c r="N665" s="49"/>
      <c r="O665" s="49"/>
      <c r="P665" s="49"/>
      <c r="Q665" s="49"/>
      <c r="R665" s="49">
        <v>500000</v>
      </c>
      <c r="S665" s="49"/>
      <c r="T665" s="49"/>
      <c r="U665" s="49"/>
      <c r="V665" s="49"/>
      <c r="W665" s="49">
        <v>443321.04</v>
      </c>
      <c r="X665" s="40">
        <f t="shared" si="78"/>
        <v>56678.96000000002</v>
      </c>
    </row>
    <row r="666" spans="2:24" ht="63">
      <c r="B666" s="306"/>
      <c r="C666" s="306"/>
      <c r="D666" s="307"/>
      <c r="E666" s="24" t="s">
        <v>261</v>
      </c>
      <c r="F666" s="109"/>
      <c r="G666" s="109"/>
      <c r="H666" s="230"/>
      <c r="I666" s="257">
        <v>3210</v>
      </c>
      <c r="J666" s="21">
        <f>1844000-151000-107000</f>
        <v>1586000</v>
      </c>
      <c r="K666" s="49"/>
      <c r="L666" s="49"/>
      <c r="M666" s="49"/>
      <c r="N666" s="49"/>
      <c r="O666" s="49"/>
      <c r="P666" s="49">
        <v>1844000</v>
      </c>
      <c r="Q666" s="49"/>
      <c r="R666" s="49">
        <f>-151000</f>
        <v>-151000</v>
      </c>
      <c r="S666" s="49"/>
      <c r="T666" s="49"/>
      <c r="U666" s="49"/>
      <c r="V666" s="49">
        <v>-107000</v>
      </c>
      <c r="W666" s="49">
        <f>10164.48+1374466.8+199173.6</f>
        <v>1583804.8800000001</v>
      </c>
      <c r="X666" s="40">
        <f t="shared" si="78"/>
        <v>2195.119999999879</v>
      </c>
    </row>
    <row r="667" spans="2:24" ht="63">
      <c r="B667" s="306"/>
      <c r="C667" s="306"/>
      <c r="D667" s="307"/>
      <c r="E667" s="24" t="s">
        <v>551</v>
      </c>
      <c r="F667" s="109"/>
      <c r="G667" s="109"/>
      <c r="H667" s="230"/>
      <c r="I667" s="257">
        <v>3210</v>
      </c>
      <c r="J667" s="21">
        <f>1046000-726.94</f>
        <v>1045273.06</v>
      </c>
      <c r="K667" s="49"/>
      <c r="L667" s="49"/>
      <c r="M667" s="49"/>
      <c r="N667" s="49"/>
      <c r="O667" s="49"/>
      <c r="P667" s="49"/>
      <c r="Q667" s="49">
        <v>1046000</v>
      </c>
      <c r="R667" s="49"/>
      <c r="S667" s="49"/>
      <c r="T667" s="49"/>
      <c r="U667" s="49"/>
      <c r="V667" s="49">
        <v>-726.94</v>
      </c>
      <c r="W667" s="49">
        <f>10287.46+896961.6+138024</f>
        <v>1045273.0599999999</v>
      </c>
      <c r="X667" s="40">
        <f t="shared" si="78"/>
        <v>0</v>
      </c>
    </row>
    <row r="668" spans="2:24" ht="78.75">
      <c r="B668" s="306"/>
      <c r="C668" s="306"/>
      <c r="D668" s="307"/>
      <c r="E668" s="24" t="s">
        <v>361</v>
      </c>
      <c r="F668" s="109"/>
      <c r="G668" s="109"/>
      <c r="H668" s="230"/>
      <c r="I668" s="257">
        <v>3210</v>
      </c>
      <c r="J668" s="21">
        <v>300000</v>
      </c>
      <c r="K668" s="49"/>
      <c r="L668" s="49"/>
      <c r="M668" s="49"/>
      <c r="N668" s="49"/>
      <c r="O668" s="49"/>
      <c r="P668" s="49"/>
      <c r="Q668" s="49"/>
      <c r="R668" s="49"/>
      <c r="S668" s="49"/>
      <c r="T668" s="49"/>
      <c r="U668" s="49">
        <v>300000</v>
      </c>
      <c r="V668" s="49"/>
      <c r="W668" s="49"/>
      <c r="X668" s="40">
        <f t="shared" si="78"/>
        <v>300000</v>
      </c>
    </row>
    <row r="669" spans="2:24" ht="63">
      <c r="B669" s="306"/>
      <c r="C669" s="306"/>
      <c r="D669" s="307"/>
      <c r="E669" s="24" t="s">
        <v>515</v>
      </c>
      <c r="F669" s="109"/>
      <c r="G669" s="109"/>
      <c r="H669" s="230"/>
      <c r="I669" s="257">
        <v>3210</v>
      </c>
      <c r="J669" s="21">
        <f>2900000-37000</f>
        <v>2863000</v>
      </c>
      <c r="K669" s="49"/>
      <c r="L669" s="49"/>
      <c r="M669" s="49"/>
      <c r="N669" s="49"/>
      <c r="O669" s="49"/>
      <c r="P669" s="49"/>
      <c r="Q669" s="49"/>
      <c r="R669" s="49"/>
      <c r="S669" s="49">
        <f>2900000-1818175</f>
        <v>1081825</v>
      </c>
      <c r="T669" s="49"/>
      <c r="U669" s="49"/>
      <c r="V669" s="49">
        <f>1818175-37000</f>
        <v>1781175</v>
      </c>
      <c r="W669" s="49">
        <f>2568787.2</f>
        <v>2568787.2</v>
      </c>
      <c r="X669" s="40">
        <f t="shared" si="78"/>
        <v>294212.7999999998</v>
      </c>
    </row>
    <row r="670" spans="2:24" ht="63">
      <c r="B670" s="306"/>
      <c r="C670" s="306"/>
      <c r="D670" s="307"/>
      <c r="E670" s="12" t="s">
        <v>237</v>
      </c>
      <c r="F670" s="109"/>
      <c r="G670" s="109"/>
      <c r="H670" s="230"/>
      <c r="I670" s="257">
        <v>3210</v>
      </c>
      <c r="J670" s="21">
        <f>110000-22570.4</f>
        <v>87429.6</v>
      </c>
      <c r="K670" s="49"/>
      <c r="L670" s="49"/>
      <c r="M670" s="49"/>
      <c r="N670" s="49"/>
      <c r="O670" s="49">
        <v>110000</v>
      </c>
      <c r="P670" s="49"/>
      <c r="Q670" s="49"/>
      <c r="R670" s="49"/>
      <c r="S670" s="49"/>
      <c r="T670" s="49"/>
      <c r="U670" s="49"/>
      <c r="V670" s="49">
        <v>-22570.4</v>
      </c>
      <c r="W670" s="49">
        <f>57962.4+5847.6+23619.6</f>
        <v>87429.6</v>
      </c>
      <c r="X670" s="40">
        <f t="shared" si="78"/>
        <v>0</v>
      </c>
    </row>
    <row r="671" spans="2:24" ht="63">
      <c r="B671" s="306"/>
      <c r="C671" s="306"/>
      <c r="D671" s="307"/>
      <c r="E671" s="126" t="s">
        <v>238</v>
      </c>
      <c r="F671" s="109"/>
      <c r="G671" s="109"/>
      <c r="H671" s="230"/>
      <c r="I671" s="257">
        <v>3210</v>
      </c>
      <c r="J671" s="21">
        <f>35000+15000-404.01</f>
        <v>49595.99</v>
      </c>
      <c r="K671" s="49"/>
      <c r="L671" s="49"/>
      <c r="M671" s="49"/>
      <c r="N671" s="49"/>
      <c r="O671" s="49">
        <v>35000</v>
      </c>
      <c r="P671" s="49"/>
      <c r="Q671" s="49"/>
      <c r="R671" s="49"/>
      <c r="S671" s="49"/>
      <c r="T671" s="49">
        <v>15000</v>
      </c>
      <c r="U671" s="49"/>
      <c r="V671" s="49">
        <v>-404.01</v>
      </c>
      <c r="W671" s="49">
        <v>49595.99</v>
      </c>
      <c r="X671" s="40">
        <f t="shared" si="78"/>
        <v>0</v>
      </c>
    </row>
    <row r="672" spans="2:24" ht="47.25">
      <c r="B672" s="306"/>
      <c r="C672" s="306"/>
      <c r="D672" s="307"/>
      <c r="E672" s="108" t="s">
        <v>382</v>
      </c>
      <c r="F672" s="109"/>
      <c r="G672" s="109"/>
      <c r="H672" s="230"/>
      <c r="I672" s="257">
        <v>3210</v>
      </c>
      <c r="J672" s="21">
        <f>67700+65000-1271.44</f>
        <v>131428.56</v>
      </c>
      <c r="K672" s="49"/>
      <c r="L672" s="49"/>
      <c r="M672" s="49"/>
      <c r="N672" s="49"/>
      <c r="O672" s="49"/>
      <c r="P672" s="49"/>
      <c r="Q672" s="49"/>
      <c r="R672" s="49">
        <v>67700</v>
      </c>
      <c r="S672" s="49"/>
      <c r="T672" s="49">
        <v>65000</v>
      </c>
      <c r="U672" s="49"/>
      <c r="V672" s="49">
        <v>-1271.44</v>
      </c>
      <c r="W672" s="49">
        <f>131428.56</f>
        <v>131428.56</v>
      </c>
      <c r="X672" s="40">
        <f t="shared" si="78"/>
        <v>0</v>
      </c>
    </row>
    <row r="673" spans="2:24" ht="47.25">
      <c r="B673" s="306"/>
      <c r="C673" s="306"/>
      <c r="D673" s="307"/>
      <c r="E673" s="108" t="s">
        <v>383</v>
      </c>
      <c r="F673" s="109"/>
      <c r="G673" s="109"/>
      <c r="H673" s="230"/>
      <c r="I673" s="257">
        <v>3210</v>
      </c>
      <c r="J673" s="21">
        <f>1147900+51000-1965.83</f>
        <v>1196934.17</v>
      </c>
      <c r="K673" s="49"/>
      <c r="L673" s="49"/>
      <c r="M673" s="49"/>
      <c r="N673" s="49"/>
      <c r="O673" s="49"/>
      <c r="P673" s="49">
        <v>1147900</v>
      </c>
      <c r="Q673" s="49"/>
      <c r="R673" s="49">
        <f>51000</f>
        <v>51000</v>
      </c>
      <c r="S673" s="49"/>
      <c r="T673" s="49"/>
      <c r="U673" s="49"/>
      <c r="V673" s="49">
        <v>-1965.83</v>
      </c>
      <c r="W673" s="49">
        <f>11082.17+934959.6+250892.4</f>
        <v>1196934.17</v>
      </c>
      <c r="X673" s="40">
        <f t="shared" si="78"/>
        <v>0</v>
      </c>
    </row>
    <row r="674" spans="2:24" ht="31.5">
      <c r="B674" s="306"/>
      <c r="C674" s="306"/>
      <c r="D674" s="307"/>
      <c r="E674" s="108" t="s">
        <v>503</v>
      </c>
      <c r="F674" s="109"/>
      <c r="G674" s="109"/>
      <c r="H674" s="230"/>
      <c r="I674" s="257">
        <v>3210</v>
      </c>
      <c r="J674" s="21">
        <f>62400-3875.32</f>
        <v>58524.68</v>
      </c>
      <c r="K674" s="49"/>
      <c r="L674" s="49"/>
      <c r="M674" s="49"/>
      <c r="N674" s="49"/>
      <c r="O674" s="49"/>
      <c r="P674" s="49">
        <v>62400</v>
      </c>
      <c r="Q674" s="49"/>
      <c r="R674" s="49"/>
      <c r="S674" s="49"/>
      <c r="T674" s="49"/>
      <c r="U674" s="49"/>
      <c r="V674" s="49">
        <v>-3875.32</v>
      </c>
      <c r="W674" s="49">
        <f>5098.28+32512+20914.4</f>
        <v>58524.68</v>
      </c>
      <c r="X674" s="40">
        <f t="shared" si="78"/>
        <v>0</v>
      </c>
    </row>
    <row r="675" spans="2:24" ht="63">
      <c r="B675" s="306"/>
      <c r="C675" s="306"/>
      <c r="D675" s="307"/>
      <c r="E675" s="108" t="s">
        <v>521</v>
      </c>
      <c r="F675" s="109"/>
      <c r="G675" s="109"/>
      <c r="H675" s="230"/>
      <c r="I675" s="257">
        <v>3210</v>
      </c>
      <c r="J675" s="21">
        <f>61100-4203.5</f>
        <v>56896.5</v>
      </c>
      <c r="K675" s="49"/>
      <c r="L675" s="49"/>
      <c r="M675" s="49"/>
      <c r="N675" s="49"/>
      <c r="O675" s="49">
        <v>61100</v>
      </c>
      <c r="P675" s="49"/>
      <c r="Q675" s="49"/>
      <c r="R675" s="49"/>
      <c r="S675" s="49"/>
      <c r="T675" s="49"/>
      <c r="U675" s="49"/>
      <c r="V675" s="49">
        <v>-4203.5</v>
      </c>
      <c r="W675" s="49">
        <f>5523.1+31122.83+20250.57</f>
        <v>56896.5</v>
      </c>
      <c r="X675" s="40">
        <f t="shared" si="78"/>
        <v>0</v>
      </c>
    </row>
    <row r="676" spans="2:24" ht="94.5" hidden="1">
      <c r="B676" s="306"/>
      <c r="C676" s="306"/>
      <c r="D676" s="307"/>
      <c r="E676" s="24" t="s">
        <v>862</v>
      </c>
      <c r="F676" s="109"/>
      <c r="G676" s="109"/>
      <c r="H676" s="230"/>
      <c r="I676" s="257">
        <v>3210</v>
      </c>
      <c r="J676" s="21">
        <f>422800-422800</f>
        <v>0</v>
      </c>
      <c r="K676" s="49"/>
      <c r="L676" s="49"/>
      <c r="M676" s="49"/>
      <c r="N676" s="49"/>
      <c r="O676" s="49"/>
      <c r="P676" s="49"/>
      <c r="Q676" s="49"/>
      <c r="R676" s="49">
        <f>422800-422800</f>
        <v>0</v>
      </c>
      <c r="S676" s="49"/>
      <c r="T676" s="49"/>
      <c r="U676" s="49"/>
      <c r="V676" s="49"/>
      <c r="W676" s="49"/>
      <c r="X676" s="40">
        <f t="shared" si="78"/>
        <v>0</v>
      </c>
    </row>
    <row r="677" spans="2:24" ht="63.75" customHeight="1">
      <c r="B677" s="306"/>
      <c r="C677" s="306"/>
      <c r="D677" s="307"/>
      <c r="E677" s="278" t="s">
        <v>942</v>
      </c>
      <c r="F677" s="109"/>
      <c r="G677" s="109"/>
      <c r="H677" s="230"/>
      <c r="I677" s="257">
        <v>3210</v>
      </c>
      <c r="J677" s="21">
        <f>210400-108310.54</f>
        <v>102089.46</v>
      </c>
      <c r="K677" s="49"/>
      <c r="L677" s="49"/>
      <c r="M677" s="49"/>
      <c r="N677" s="49"/>
      <c r="O677" s="49"/>
      <c r="P677" s="49"/>
      <c r="Q677" s="49"/>
      <c r="R677" s="49">
        <v>210400</v>
      </c>
      <c r="S677" s="49"/>
      <c r="T677" s="49"/>
      <c r="U677" s="49"/>
      <c r="V677" s="49">
        <v>-108310.54</v>
      </c>
      <c r="W677" s="49">
        <f>102089.46</f>
        <v>102089.46</v>
      </c>
      <c r="X677" s="40">
        <f t="shared" si="78"/>
        <v>0</v>
      </c>
    </row>
    <row r="678" spans="2:24" ht="63.75" customHeight="1">
      <c r="B678" s="306"/>
      <c r="C678" s="306"/>
      <c r="D678" s="307"/>
      <c r="E678" s="278" t="s">
        <v>943</v>
      </c>
      <c r="F678" s="109"/>
      <c r="G678" s="109"/>
      <c r="H678" s="230"/>
      <c r="I678" s="257">
        <v>3210</v>
      </c>
      <c r="J678" s="21">
        <f>212400+13000-214.79</f>
        <v>225185.21</v>
      </c>
      <c r="K678" s="49"/>
      <c r="L678" s="49"/>
      <c r="M678" s="49"/>
      <c r="N678" s="49"/>
      <c r="O678" s="49"/>
      <c r="P678" s="49"/>
      <c r="Q678" s="49"/>
      <c r="R678" s="49">
        <v>212400</v>
      </c>
      <c r="S678" s="49"/>
      <c r="T678" s="49">
        <v>13000</v>
      </c>
      <c r="U678" s="49"/>
      <c r="V678" s="49">
        <v>-214.79</v>
      </c>
      <c r="W678" s="49">
        <v>225185.21</v>
      </c>
      <c r="X678" s="40">
        <f t="shared" si="78"/>
        <v>0</v>
      </c>
    </row>
    <row r="679" spans="2:24" ht="94.5">
      <c r="B679" s="306"/>
      <c r="C679" s="306"/>
      <c r="D679" s="307"/>
      <c r="E679" s="278" t="s">
        <v>14</v>
      </c>
      <c r="F679" s="109"/>
      <c r="G679" s="109"/>
      <c r="H679" s="230"/>
      <c r="I679" s="257">
        <v>3210</v>
      </c>
      <c r="J679" s="21">
        <f>237000-60061.21</f>
        <v>176938.79</v>
      </c>
      <c r="K679" s="49"/>
      <c r="L679" s="49"/>
      <c r="M679" s="49"/>
      <c r="N679" s="49"/>
      <c r="O679" s="49"/>
      <c r="P679" s="49"/>
      <c r="Q679" s="49"/>
      <c r="R679" s="49"/>
      <c r="S679" s="49">
        <v>237000</v>
      </c>
      <c r="T679" s="49"/>
      <c r="U679" s="49"/>
      <c r="V679" s="49">
        <v>-60061.21</v>
      </c>
      <c r="W679" s="49">
        <f>176938.79</f>
        <v>176938.79</v>
      </c>
      <c r="X679" s="40">
        <f t="shared" si="78"/>
        <v>0</v>
      </c>
    </row>
    <row r="680" spans="2:24" ht="63">
      <c r="B680" s="306"/>
      <c r="C680" s="306"/>
      <c r="D680" s="307"/>
      <c r="E680" s="278" t="s">
        <v>341</v>
      </c>
      <c r="F680" s="109"/>
      <c r="G680" s="109"/>
      <c r="H680" s="230"/>
      <c r="I680" s="257">
        <v>3210</v>
      </c>
      <c r="J680" s="21">
        <v>1017000</v>
      </c>
      <c r="K680" s="49"/>
      <c r="L680" s="49"/>
      <c r="M680" s="49"/>
      <c r="N680" s="49"/>
      <c r="O680" s="49"/>
      <c r="P680" s="49"/>
      <c r="Q680" s="49"/>
      <c r="R680" s="49"/>
      <c r="S680" s="49"/>
      <c r="T680" s="49">
        <v>1017000</v>
      </c>
      <c r="U680" s="49"/>
      <c r="V680" s="49"/>
      <c r="W680" s="49"/>
      <c r="X680" s="40">
        <f t="shared" si="78"/>
        <v>1017000</v>
      </c>
    </row>
    <row r="681" spans="2:24" ht="47.25">
      <c r="B681" s="306"/>
      <c r="C681" s="306"/>
      <c r="D681" s="307"/>
      <c r="E681" s="108" t="s">
        <v>522</v>
      </c>
      <c r="F681" s="109"/>
      <c r="G681" s="109"/>
      <c r="H681" s="230"/>
      <c r="I681" s="257">
        <v>3210</v>
      </c>
      <c r="J681" s="21">
        <f>200000-12725.2</f>
        <v>187274.8</v>
      </c>
      <c r="K681" s="49"/>
      <c r="L681" s="49"/>
      <c r="M681" s="49"/>
      <c r="N681" s="49"/>
      <c r="O681" s="49">
        <v>200000</v>
      </c>
      <c r="P681" s="49"/>
      <c r="Q681" s="49"/>
      <c r="R681" s="49"/>
      <c r="S681" s="49"/>
      <c r="T681" s="49"/>
      <c r="U681" s="49"/>
      <c r="V681" s="49">
        <v>-12725.2</v>
      </c>
      <c r="W681" s="49">
        <f>6964+130831.2+49479.6</f>
        <v>187274.80000000002</v>
      </c>
      <c r="X681" s="40">
        <f t="shared" si="78"/>
        <v>0</v>
      </c>
    </row>
    <row r="682" spans="2:24" ht="31.5">
      <c r="B682" s="306"/>
      <c r="C682" s="306"/>
      <c r="D682" s="307"/>
      <c r="E682" s="127" t="s">
        <v>245</v>
      </c>
      <c r="F682" s="125"/>
      <c r="G682" s="125"/>
      <c r="H682" s="237"/>
      <c r="I682" s="257"/>
      <c r="J682" s="77">
        <f>J683</f>
        <v>68000</v>
      </c>
      <c r="K682" s="77">
        <f aca="true" t="shared" si="79" ref="K682:W682">K683</f>
        <v>0</v>
      </c>
      <c r="L682" s="77">
        <f t="shared" si="79"/>
        <v>0</v>
      </c>
      <c r="M682" s="77">
        <f t="shared" si="79"/>
        <v>0</v>
      </c>
      <c r="N682" s="77">
        <f t="shared" si="79"/>
        <v>0</v>
      </c>
      <c r="O682" s="77">
        <f t="shared" si="79"/>
        <v>0</v>
      </c>
      <c r="P682" s="77">
        <f t="shared" si="79"/>
        <v>28000</v>
      </c>
      <c r="Q682" s="77">
        <f t="shared" si="79"/>
        <v>0</v>
      </c>
      <c r="R682" s="77">
        <f t="shared" si="79"/>
        <v>0</v>
      </c>
      <c r="S682" s="77">
        <f t="shared" si="79"/>
        <v>0</v>
      </c>
      <c r="T682" s="77">
        <f t="shared" si="79"/>
        <v>0</v>
      </c>
      <c r="U682" s="77">
        <f t="shared" si="79"/>
        <v>40000</v>
      </c>
      <c r="V682" s="77">
        <f t="shared" si="79"/>
        <v>0</v>
      </c>
      <c r="W682" s="77">
        <f t="shared" si="79"/>
        <v>3907</v>
      </c>
      <c r="X682" s="40">
        <f t="shared" si="78"/>
        <v>64093</v>
      </c>
    </row>
    <row r="683" spans="2:24" ht="31.5">
      <c r="B683" s="306"/>
      <c r="C683" s="306"/>
      <c r="D683" s="307"/>
      <c r="E683" s="108" t="s">
        <v>246</v>
      </c>
      <c r="F683" s="109"/>
      <c r="G683" s="109"/>
      <c r="H683" s="230"/>
      <c r="I683" s="257">
        <v>3210</v>
      </c>
      <c r="J683" s="21">
        <f>28000+40000</f>
        <v>68000</v>
      </c>
      <c r="K683" s="49"/>
      <c r="L683" s="49"/>
      <c r="M683" s="49"/>
      <c r="N683" s="49"/>
      <c r="O683" s="49"/>
      <c r="P683" s="49">
        <v>28000</v>
      </c>
      <c r="Q683" s="49"/>
      <c r="R683" s="49"/>
      <c r="S683" s="49"/>
      <c r="T683" s="49"/>
      <c r="U683" s="49">
        <v>40000</v>
      </c>
      <c r="V683" s="49"/>
      <c r="W683" s="49">
        <f>3907</f>
        <v>3907</v>
      </c>
      <c r="X683" s="40">
        <f t="shared" si="78"/>
        <v>64093</v>
      </c>
    </row>
    <row r="684" spans="2:24" ht="47.25">
      <c r="B684" s="306"/>
      <c r="C684" s="306"/>
      <c r="D684" s="307"/>
      <c r="E684" s="123" t="s">
        <v>247</v>
      </c>
      <c r="F684" s="109"/>
      <c r="G684" s="109"/>
      <c r="H684" s="238"/>
      <c r="I684" s="257"/>
      <c r="J684" s="77">
        <f>J685</f>
        <v>65830</v>
      </c>
      <c r="K684" s="77">
        <f aca="true" t="shared" si="80" ref="K684:W684">K685</f>
        <v>0</v>
      </c>
      <c r="L684" s="77">
        <f t="shared" si="80"/>
        <v>0</v>
      </c>
      <c r="M684" s="77">
        <f t="shared" si="80"/>
        <v>0</v>
      </c>
      <c r="N684" s="77">
        <f t="shared" si="80"/>
        <v>0</v>
      </c>
      <c r="O684" s="77">
        <f t="shared" si="80"/>
        <v>0</v>
      </c>
      <c r="P684" s="77">
        <f t="shared" si="80"/>
        <v>65830</v>
      </c>
      <c r="Q684" s="77">
        <f t="shared" si="80"/>
        <v>0</v>
      </c>
      <c r="R684" s="77">
        <f t="shared" si="80"/>
        <v>0</v>
      </c>
      <c r="S684" s="77">
        <f t="shared" si="80"/>
        <v>0</v>
      </c>
      <c r="T684" s="77">
        <f t="shared" si="80"/>
        <v>0</v>
      </c>
      <c r="U684" s="77">
        <f t="shared" si="80"/>
        <v>0</v>
      </c>
      <c r="V684" s="77">
        <f t="shared" si="80"/>
        <v>0</v>
      </c>
      <c r="W684" s="77">
        <f t="shared" si="80"/>
        <v>65830</v>
      </c>
      <c r="X684" s="40">
        <f t="shared" si="78"/>
        <v>0</v>
      </c>
    </row>
    <row r="685" spans="2:24" ht="31.5">
      <c r="B685" s="306"/>
      <c r="C685" s="306"/>
      <c r="D685" s="307"/>
      <c r="E685" s="12" t="s">
        <v>168</v>
      </c>
      <c r="F685" s="109"/>
      <c r="G685" s="106"/>
      <c r="H685" s="230"/>
      <c r="I685" s="257">
        <v>3210</v>
      </c>
      <c r="J685" s="21">
        <v>65830</v>
      </c>
      <c r="K685" s="49"/>
      <c r="L685" s="49"/>
      <c r="M685" s="49"/>
      <c r="N685" s="49"/>
      <c r="O685" s="49"/>
      <c r="P685" s="49">
        <v>65830</v>
      </c>
      <c r="Q685" s="49"/>
      <c r="R685" s="49"/>
      <c r="S685" s="49"/>
      <c r="T685" s="49"/>
      <c r="U685" s="49"/>
      <c r="V685" s="49"/>
      <c r="W685" s="49">
        <v>65830</v>
      </c>
      <c r="X685" s="40">
        <f t="shared" si="78"/>
        <v>0</v>
      </c>
    </row>
    <row r="686" spans="2:24" ht="31.5">
      <c r="B686" s="306"/>
      <c r="C686" s="306"/>
      <c r="D686" s="307"/>
      <c r="E686" s="123" t="s">
        <v>248</v>
      </c>
      <c r="F686" s="109"/>
      <c r="G686" s="109"/>
      <c r="H686" s="238"/>
      <c r="I686" s="257"/>
      <c r="J686" s="77">
        <f>SUM(J687:J692)</f>
        <v>1235099</v>
      </c>
      <c r="K686" s="77">
        <f aca="true" t="shared" si="81" ref="K686:W686">SUM(K687:K692)</f>
        <v>0</v>
      </c>
      <c r="L686" s="77">
        <f t="shared" si="81"/>
        <v>0</v>
      </c>
      <c r="M686" s="77">
        <f t="shared" si="81"/>
        <v>0</v>
      </c>
      <c r="N686" s="77">
        <f t="shared" si="81"/>
        <v>0</v>
      </c>
      <c r="O686" s="77">
        <f t="shared" si="81"/>
        <v>281200</v>
      </c>
      <c r="P686" s="77">
        <f t="shared" si="81"/>
        <v>250000</v>
      </c>
      <c r="Q686" s="77">
        <f t="shared" si="81"/>
        <v>500000</v>
      </c>
      <c r="R686" s="77">
        <f t="shared" si="81"/>
        <v>150000</v>
      </c>
      <c r="S686" s="77">
        <f t="shared" si="81"/>
        <v>69000</v>
      </c>
      <c r="T686" s="77">
        <f t="shared" si="81"/>
        <v>0</v>
      </c>
      <c r="U686" s="77">
        <f t="shared" si="81"/>
        <v>0</v>
      </c>
      <c r="V686" s="77">
        <f t="shared" si="81"/>
        <v>-15101</v>
      </c>
      <c r="W686" s="77">
        <f t="shared" si="81"/>
        <v>793648.98</v>
      </c>
      <c r="X686" s="40">
        <f t="shared" si="78"/>
        <v>441450.02</v>
      </c>
    </row>
    <row r="687" spans="2:24" ht="31.5">
      <c r="B687" s="306"/>
      <c r="C687" s="306"/>
      <c r="D687" s="307"/>
      <c r="E687" s="12" t="s">
        <v>74</v>
      </c>
      <c r="F687" s="106"/>
      <c r="G687" s="107"/>
      <c r="H687" s="230"/>
      <c r="I687" s="257">
        <v>3210</v>
      </c>
      <c r="J687" s="21">
        <f>1000000-22671</f>
        <v>977329</v>
      </c>
      <c r="K687" s="49"/>
      <c r="L687" s="49"/>
      <c r="M687" s="49"/>
      <c r="N687" s="49"/>
      <c r="O687" s="49">
        <v>100000</v>
      </c>
      <c r="P687" s="49">
        <v>250000</v>
      </c>
      <c r="Q687" s="49">
        <v>500000</v>
      </c>
      <c r="R687" s="49">
        <v>150000</v>
      </c>
      <c r="S687" s="49"/>
      <c r="T687" s="49"/>
      <c r="U687" s="49">
        <v>-22671</v>
      </c>
      <c r="V687" s="49"/>
      <c r="W687" s="49">
        <f>9875.29+78229.5+46810.31+15426.5+59548+349252</f>
        <v>559141.6</v>
      </c>
      <c r="X687" s="40">
        <f t="shared" si="78"/>
        <v>418187.4</v>
      </c>
    </row>
    <row r="688" spans="2:24" ht="31.5">
      <c r="B688" s="306"/>
      <c r="C688" s="306"/>
      <c r="D688" s="307"/>
      <c r="E688" s="105" t="s">
        <v>75</v>
      </c>
      <c r="F688" s="106"/>
      <c r="G688" s="106"/>
      <c r="H688" s="239"/>
      <c r="I688" s="257">
        <v>3210</v>
      </c>
      <c r="J688" s="21">
        <f>120000-18401-2099</f>
        <v>99500</v>
      </c>
      <c r="K688" s="49"/>
      <c r="L688" s="49"/>
      <c r="M688" s="49"/>
      <c r="N688" s="49"/>
      <c r="O688" s="49">
        <v>120000</v>
      </c>
      <c r="P688" s="49"/>
      <c r="Q688" s="49"/>
      <c r="R688" s="49">
        <f>-18401</f>
        <v>-18401</v>
      </c>
      <c r="S688" s="49"/>
      <c r="T688" s="49"/>
      <c r="U688" s="49"/>
      <c r="V688" s="49">
        <v>-2099</v>
      </c>
      <c r="W688" s="49">
        <f>69650+29850</f>
        <v>99500</v>
      </c>
      <c r="X688" s="40">
        <f t="shared" si="78"/>
        <v>0</v>
      </c>
    </row>
    <row r="689" spans="2:24" ht="31.5">
      <c r="B689" s="306"/>
      <c r="C689" s="306"/>
      <c r="D689" s="307"/>
      <c r="E689" s="10" t="s">
        <v>69</v>
      </c>
      <c r="F689" s="106"/>
      <c r="G689" s="280"/>
      <c r="H689" s="239"/>
      <c r="I689" s="257">
        <v>3210</v>
      </c>
      <c r="J689" s="21">
        <f>40000-10601</f>
        <v>29399</v>
      </c>
      <c r="K689" s="49"/>
      <c r="L689" s="49"/>
      <c r="M689" s="49"/>
      <c r="N689" s="49"/>
      <c r="O689" s="49"/>
      <c r="P689" s="49"/>
      <c r="Q689" s="49"/>
      <c r="R689" s="49"/>
      <c r="S689" s="21">
        <v>40000</v>
      </c>
      <c r="T689" s="49"/>
      <c r="U689" s="49"/>
      <c r="V689" s="49">
        <v>-10601</v>
      </c>
      <c r="W689" s="49">
        <v>29399</v>
      </c>
      <c r="X689" s="40">
        <f t="shared" si="78"/>
        <v>0</v>
      </c>
    </row>
    <row r="690" spans="2:24" ht="15.75">
      <c r="B690" s="306"/>
      <c r="C690" s="306"/>
      <c r="D690" s="307"/>
      <c r="E690" s="10" t="s">
        <v>70</v>
      </c>
      <c r="F690" s="106"/>
      <c r="G690" s="280"/>
      <c r="H690" s="239"/>
      <c r="I690" s="257">
        <v>3210</v>
      </c>
      <c r="J690" s="21">
        <f>20000-2401</f>
        <v>17599</v>
      </c>
      <c r="K690" s="49"/>
      <c r="L690" s="49"/>
      <c r="M690" s="49"/>
      <c r="N690" s="49"/>
      <c r="O690" s="49"/>
      <c r="P690" s="49"/>
      <c r="Q690" s="49"/>
      <c r="R690" s="49"/>
      <c r="S690" s="21">
        <v>20000</v>
      </c>
      <c r="T690" s="49"/>
      <c r="U690" s="49"/>
      <c r="V690" s="49">
        <v>-2401</v>
      </c>
      <c r="W690" s="49">
        <f>17599</f>
        <v>17599</v>
      </c>
      <c r="X690" s="40">
        <f t="shared" si="78"/>
        <v>0</v>
      </c>
    </row>
    <row r="691" spans="2:24" ht="15.75">
      <c r="B691" s="306"/>
      <c r="C691" s="306"/>
      <c r="D691" s="307"/>
      <c r="E691" s="10" t="s">
        <v>71</v>
      </c>
      <c r="F691" s="106"/>
      <c r="G691" s="280"/>
      <c r="H691" s="239"/>
      <c r="I691" s="257">
        <v>3210</v>
      </c>
      <c r="J691" s="21">
        <f>9000+22671</f>
        <v>31671</v>
      </c>
      <c r="K691" s="49"/>
      <c r="L691" s="49"/>
      <c r="M691" s="49"/>
      <c r="N691" s="49"/>
      <c r="O691" s="49"/>
      <c r="P691" s="49"/>
      <c r="Q691" s="49"/>
      <c r="R691" s="49"/>
      <c r="S691" s="21">
        <v>9000</v>
      </c>
      <c r="T691" s="49"/>
      <c r="U691" s="49">
        <v>22671</v>
      </c>
      <c r="V691" s="49"/>
      <c r="W691" s="49">
        <v>31671</v>
      </c>
      <c r="X691" s="40">
        <f t="shared" si="78"/>
        <v>0</v>
      </c>
    </row>
    <row r="692" spans="2:24" ht="31.5">
      <c r="B692" s="306"/>
      <c r="C692" s="306"/>
      <c r="D692" s="307"/>
      <c r="E692" s="10" t="s">
        <v>76</v>
      </c>
      <c r="F692" s="109"/>
      <c r="G692" s="115"/>
      <c r="H692" s="228"/>
      <c r="I692" s="257">
        <v>3210</v>
      </c>
      <c r="J692" s="21">
        <f>61200+18401</f>
        <v>79601</v>
      </c>
      <c r="K692" s="49"/>
      <c r="L692" s="49"/>
      <c r="M692" s="49"/>
      <c r="N692" s="49"/>
      <c r="O692" s="49">
        <v>61200</v>
      </c>
      <c r="P692" s="49"/>
      <c r="Q692" s="49"/>
      <c r="R692" s="49">
        <v>18401</v>
      </c>
      <c r="S692" s="49"/>
      <c r="T692" s="49"/>
      <c r="U692" s="49"/>
      <c r="V692" s="49"/>
      <c r="W692" s="49">
        <f>50000+5235+1103.38</f>
        <v>56338.38</v>
      </c>
      <c r="X692" s="40">
        <f t="shared" si="78"/>
        <v>23262.620000000003</v>
      </c>
    </row>
    <row r="693" spans="2:24" ht="15.75">
      <c r="B693" s="302" t="s">
        <v>458</v>
      </c>
      <c r="C693" s="302" t="s">
        <v>253</v>
      </c>
      <c r="D693" s="288" t="s">
        <v>77</v>
      </c>
      <c r="E693" s="29"/>
      <c r="F693" s="14"/>
      <c r="G693" s="18"/>
      <c r="H693" s="229"/>
      <c r="I693" s="257"/>
      <c r="J693" s="210">
        <f>J694</f>
        <v>49500</v>
      </c>
      <c r="K693" s="210">
        <f aca="true" t="shared" si="82" ref="K693:W693">K694</f>
        <v>0</v>
      </c>
      <c r="L693" s="210">
        <f t="shared" si="82"/>
        <v>0</v>
      </c>
      <c r="M693" s="210">
        <f t="shared" si="82"/>
        <v>0</v>
      </c>
      <c r="N693" s="210">
        <f t="shared" si="82"/>
        <v>0</v>
      </c>
      <c r="O693" s="210">
        <f t="shared" si="82"/>
        <v>0</v>
      </c>
      <c r="P693" s="210">
        <f t="shared" si="82"/>
        <v>50000</v>
      </c>
      <c r="Q693" s="210">
        <f t="shared" si="82"/>
        <v>0</v>
      </c>
      <c r="R693" s="210">
        <f t="shared" si="82"/>
        <v>0</v>
      </c>
      <c r="S693" s="210">
        <f t="shared" si="82"/>
        <v>0</v>
      </c>
      <c r="T693" s="210">
        <f t="shared" si="82"/>
        <v>0</v>
      </c>
      <c r="U693" s="210">
        <f t="shared" si="82"/>
        <v>0</v>
      </c>
      <c r="V693" s="210">
        <f t="shared" si="82"/>
        <v>-500</v>
      </c>
      <c r="W693" s="210">
        <f t="shared" si="82"/>
        <v>49500</v>
      </c>
      <c r="X693" s="184">
        <f t="shared" si="78"/>
        <v>0</v>
      </c>
    </row>
    <row r="694" spans="2:24" ht="63">
      <c r="B694" s="308"/>
      <c r="C694" s="308"/>
      <c r="D694" s="289"/>
      <c r="E694" s="105" t="s">
        <v>242</v>
      </c>
      <c r="F694" s="113"/>
      <c r="G694" s="113"/>
      <c r="H694" s="228"/>
      <c r="I694" s="250"/>
      <c r="J694" s="21">
        <f>50000-500</f>
        <v>49500</v>
      </c>
      <c r="K694" s="49"/>
      <c r="L694" s="49"/>
      <c r="M694" s="49"/>
      <c r="N694" s="49"/>
      <c r="O694" s="49"/>
      <c r="P694" s="49">
        <v>50000</v>
      </c>
      <c r="Q694" s="49"/>
      <c r="R694" s="49"/>
      <c r="S694" s="49"/>
      <c r="T694" s="49"/>
      <c r="U694" s="49"/>
      <c r="V694" s="49">
        <v>-500</v>
      </c>
      <c r="W694" s="49">
        <v>49500</v>
      </c>
      <c r="X694" s="40">
        <f t="shared" si="78"/>
        <v>0</v>
      </c>
    </row>
    <row r="695" spans="2:24" ht="15.75">
      <c r="B695" s="291" t="s">
        <v>895</v>
      </c>
      <c r="C695" s="291" t="s">
        <v>254</v>
      </c>
      <c r="D695" s="288" t="s">
        <v>896</v>
      </c>
      <c r="E695" s="29"/>
      <c r="F695" s="76"/>
      <c r="G695" s="99"/>
      <c r="H695" s="224"/>
      <c r="I695" s="255"/>
      <c r="J695" s="210">
        <f>SUM(J696:J698)</f>
        <v>2354526.8400000003</v>
      </c>
      <c r="K695" s="210">
        <f aca="true" t="shared" si="83" ref="K695:W695">SUM(K696:K698)</f>
        <v>0</v>
      </c>
      <c r="L695" s="210">
        <f t="shared" si="83"/>
        <v>208369.1</v>
      </c>
      <c r="M695" s="210">
        <f t="shared" si="83"/>
        <v>21016.37</v>
      </c>
      <c r="N695" s="210">
        <f t="shared" si="83"/>
        <v>0</v>
      </c>
      <c r="O695" s="210">
        <f t="shared" si="83"/>
        <v>0</v>
      </c>
      <c r="P695" s="210">
        <f t="shared" si="83"/>
        <v>0</v>
      </c>
      <c r="Q695" s="210">
        <f t="shared" si="83"/>
        <v>0</v>
      </c>
      <c r="R695" s="210">
        <f t="shared" si="83"/>
        <v>0</v>
      </c>
      <c r="S695" s="210">
        <f t="shared" si="83"/>
        <v>1900000</v>
      </c>
      <c r="T695" s="210">
        <f t="shared" si="83"/>
        <v>225141.37</v>
      </c>
      <c r="U695" s="210">
        <f t="shared" si="83"/>
        <v>0</v>
      </c>
      <c r="V695" s="210">
        <f t="shared" si="83"/>
        <v>0</v>
      </c>
      <c r="W695" s="210">
        <f t="shared" si="83"/>
        <v>1890846.9100000001</v>
      </c>
      <c r="X695" s="184">
        <f t="shared" si="78"/>
        <v>463679.93000000017</v>
      </c>
    </row>
    <row r="696" spans="2:24" ht="78.75">
      <c r="B696" s="292"/>
      <c r="C696" s="292"/>
      <c r="D696" s="289"/>
      <c r="E696" s="10" t="s">
        <v>757</v>
      </c>
      <c r="F696" s="76"/>
      <c r="G696" s="99"/>
      <c r="H696" s="224"/>
      <c r="I696" s="255">
        <v>3122</v>
      </c>
      <c r="J696" s="128">
        <v>208369.1</v>
      </c>
      <c r="K696" s="49"/>
      <c r="L696" s="128">
        <v>208369.1</v>
      </c>
      <c r="M696" s="49"/>
      <c r="N696" s="49"/>
      <c r="O696" s="49"/>
      <c r="P696" s="49"/>
      <c r="Q696" s="49"/>
      <c r="R696" s="49"/>
      <c r="S696" s="49"/>
      <c r="T696" s="49"/>
      <c r="U696" s="49"/>
      <c r="V696" s="49"/>
      <c r="W696" s="49">
        <v>208369.1</v>
      </c>
      <c r="X696" s="40">
        <f t="shared" si="78"/>
        <v>0</v>
      </c>
    </row>
    <row r="697" spans="2:24" ht="47.25">
      <c r="B697" s="292"/>
      <c r="C697" s="292"/>
      <c r="D697" s="289"/>
      <c r="E697" s="10" t="s">
        <v>15</v>
      </c>
      <c r="F697" s="76"/>
      <c r="G697" s="99"/>
      <c r="H697" s="224"/>
      <c r="I697" s="255">
        <v>3122</v>
      </c>
      <c r="J697" s="128">
        <f>1900000+225141.37</f>
        <v>2125141.37</v>
      </c>
      <c r="K697" s="49"/>
      <c r="L697" s="128"/>
      <c r="M697" s="49"/>
      <c r="N697" s="49"/>
      <c r="O697" s="49"/>
      <c r="P697" s="49"/>
      <c r="Q697" s="49"/>
      <c r="R697" s="49"/>
      <c r="S697" s="49">
        <v>1900000</v>
      </c>
      <c r="T697" s="49">
        <v>225141.37</v>
      </c>
      <c r="U697" s="49"/>
      <c r="V697" s="49"/>
      <c r="W697" s="49">
        <f>997774+684703.81</f>
        <v>1682477.81</v>
      </c>
      <c r="X697" s="40">
        <f t="shared" si="78"/>
        <v>442663.56000000006</v>
      </c>
    </row>
    <row r="698" spans="2:24" ht="78.75">
      <c r="B698" s="293"/>
      <c r="C698" s="293"/>
      <c r="D698" s="290"/>
      <c r="E698" s="10" t="s">
        <v>272</v>
      </c>
      <c r="F698" s="76"/>
      <c r="G698" s="99"/>
      <c r="H698" s="224"/>
      <c r="I698" s="255">
        <v>3122</v>
      </c>
      <c r="J698" s="128">
        <v>21016.37</v>
      </c>
      <c r="K698" s="49"/>
      <c r="L698" s="49"/>
      <c r="M698" s="49">
        <v>21016.37</v>
      </c>
      <c r="N698" s="49"/>
      <c r="O698" s="49"/>
      <c r="P698" s="49"/>
      <c r="Q698" s="49"/>
      <c r="R698" s="49"/>
      <c r="S698" s="49"/>
      <c r="T698" s="49"/>
      <c r="U698" s="49"/>
      <c r="V698" s="49"/>
      <c r="W698" s="49"/>
      <c r="X698" s="40">
        <f t="shared" si="78"/>
        <v>21016.37</v>
      </c>
    </row>
    <row r="699" spans="2:24" ht="15.75">
      <c r="B699" s="296" t="s">
        <v>897</v>
      </c>
      <c r="C699" s="296" t="s">
        <v>898</v>
      </c>
      <c r="D699" s="297" t="s">
        <v>899</v>
      </c>
      <c r="E699" s="29"/>
      <c r="F699" s="76"/>
      <c r="G699" s="99"/>
      <c r="H699" s="224"/>
      <c r="I699" s="255"/>
      <c r="J699" s="210">
        <f>SUM(J700:J701)</f>
        <v>767368.1</v>
      </c>
      <c r="K699" s="210">
        <f aca="true" t="shared" si="84" ref="K699:W699">SUM(K700:K701)</f>
        <v>0</v>
      </c>
      <c r="L699" s="210">
        <f t="shared" si="84"/>
        <v>292509.47</v>
      </c>
      <c r="M699" s="210">
        <f t="shared" si="84"/>
        <v>28983.63</v>
      </c>
      <c r="N699" s="210">
        <f t="shared" si="84"/>
        <v>0</v>
      </c>
      <c r="O699" s="210">
        <f t="shared" si="84"/>
        <v>203653.24</v>
      </c>
      <c r="P699" s="210">
        <f t="shared" si="84"/>
        <v>0</v>
      </c>
      <c r="Q699" s="210">
        <f t="shared" si="84"/>
        <v>0</v>
      </c>
      <c r="R699" s="210">
        <f t="shared" si="84"/>
        <v>242221.76</v>
      </c>
      <c r="S699" s="210">
        <f t="shared" si="84"/>
        <v>0</v>
      </c>
      <c r="T699" s="210">
        <f t="shared" si="84"/>
        <v>0</v>
      </c>
      <c r="U699" s="210">
        <f t="shared" si="84"/>
        <v>0</v>
      </c>
      <c r="V699" s="210">
        <f t="shared" si="84"/>
        <v>0</v>
      </c>
      <c r="W699" s="210">
        <f t="shared" si="84"/>
        <v>292509.47</v>
      </c>
      <c r="X699" s="184">
        <f t="shared" si="78"/>
        <v>474858.63</v>
      </c>
    </row>
    <row r="700" spans="2:24" ht="63">
      <c r="B700" s="296"/>
      <c r="C700" s="296"/>
      <c r="D700" s="297"/>
      <c r="E700" s="29" t="s">
        <v>126</v>
      </c>
      <c r="F700" s="76"/>
      <c r="G700" s="99"/>
      <c r="H700" s="224"/>
      <c r="I700" s="255">
        <v>3142</v>
      </c>
      <c r="J700" s="9">
        <v>292509.47</v>
      </c>
      <c r="K700" s="49"/>
      <c r="L700" s="9">
        <v>292509.47</v>
      </c>
      <c r="M700" s="9"/>
      <c r="N700" s="26"/>
      <c r="O700" s="9"/>
      <c r="P700" s="9"/>
      <c r="Q700" s="9"/>
      <c r="R700" s="9"/>
      <c r="S700" s="49"/>
      <c r="T700" s="49"/>
      <c r="U700" s="49"/>
      <c r="V700" s="49"/>
      <c r="W700" s="49">
        <v>292509.47</v>
      </c>
      <c r="X700" s="40">
        <f t="shared" si="78"/>
        <v>0</v>
      </c>
    </row>
    <row r="701" spans="2:24" ht="31.5" customHeight="1">
      <c r="B701" s="296"/>
      <c r="C701" s="296"/>
      <c r="D701" s="297"/>
      <c r="E701" s="12" t="s">
        <v>319</v>
      </c>
      <c r="F701" s="109"/>
      <c r="G701" s="107"/>
      <c r="H701" s="240"/>
      <c r="I701" s="255">
        <v>3110</v>
      </c>
      <c r="J701" s="49">
        <v>474858.63</v>
      </c>
      <c r="K701" s="49"/>
      <c r="L701" s="9"/>
      <c r="M701" s="9">
        <v>28983.63</v>
      </c>
      <c r="N701" s="26"/>
      <c r="O701" s="9">
        <v>203653.24</v>
      </c>
      <c r="P701" s="9"/>
      <c r="Q701" s="9"/>
      <c r="R701" s="9">
        <v>242221.76</v>
      </c>
      <c r="S701" s="49"/>
      <c r="T701" s="49"/>
      <c r="U701" s="49"/>
      <c r="V701" s="49"/>
      <c r="W701" s="49"/>
      <c r="X701" s="40">
        <f t="shared" si="78"/>
        <v>474858.63</v>
      </c>
    </row>
    <row r="702" spans="2:24" ht="15.75" customHeight="1">
      <c r="B702" s="296" t="s">
        <v>887</v>
      </c>
      <c r="C702" s="296" t="s">
        <v>256</v>
      </c>
      <c r="D702" s="297" t="s">
        <v>255</v>
      </c>
      <c r="E702" s="29"/>
      <c r="F702" s="76"/>
      <c r="G702" s="99"/>
      <c r="H702" s="224"/>
      <c r="I702" s="255"/>
      <c r="J702" s="210">
        <f>SUM(J703:J706)</f>
        <v>1154968.9</v>
      </c>
      <c r="K702" s="210">
        <f aca="true" t="shared" si="85" ref="K702:W702">SUM(K703:K706)</f>
        <v>0</v>
      </c>
      <c r="L702" s="210">
        <f t="shared" si="85"/>
        <v>175321.43</v>
      </c>
      <c r="M702" s="210">
        <f t="shared" si="85"/>
        <v>0</v>
      </c>
      <c r="N702" s="210">
        <f t="shared" si="85"/>
        <v>0</v>
      </c>
      <c r="O702" s="210">
        <f t="shared" si="85"/>
        <v>70146.76</v>
      </c>
      <c r="P702" s="210">
        <f t="shared" si="85"/>
        <v>274531.81</v>
      </c>
      <c r="Q702" s="210">
        <f t="shared" si="85"/>
        <v>100000</v>
      </c>
      <c r="R702" s="210">
        <f t="shared" si="85"/>
        <v>760110.27</v>
      </c>
      <c r="S702" s="210">
        <f t="shared" si="85"/>
        <v>0</v>
      </c>
      <c r="T702" s="210">
        <f t="shared" si="85"/>
        <v>-225141.37</v>
      </c>
      <c r="U702" s="210">
        <f t="shared" si="85"/>
        <v>0</v>
      </c>
      <c r="V702" s="210">
        <f t="shared" si="85"/>
        <v>0</v>
      </c>
      <c r="W702" s="210">
        <f t="shared" si="85"/>
        <v>606780.69</v>
      </c>
      <c r="X702" s="184">
        <f t="shared" si="78"/>
        <v>548188.21</v>
      </c>
    </row>
    <row r="703" spans="2:24" ht="47.25" customHeight="1" hidden="1">
      <c r="B703" s="296"/>
      <c r="C703" s="296"/>
      <c r="D703" s="297"/>
      <c r="E703" s="31" t="s">
        <v>584</v>
      </c>
      <c r="F703" s="76"/>
      <c r="G703" s="99"/>
      <c r="H703" s="224"/>
      <c r="I703" s="255">
        <v>3210</v>
      </c>
      <c r="J703" s="128">
        <f>225141.37-225141.37</f>
        <v>0</v>
      </c>
      <c r="K703" s="49"/>
      <c r="L703" s="49">
        <v>50000</v>
      </c>
      <c r="M703" s="49"/>
      <c r="N703" s="49"/>
      <c r="O703" s="49"/>
      <c r="P703" s="49"/>
      <c r="Q703" s="49"/>
      <c r="R703" s="49">
        <v>175141.37</v>
      </c>
      <c r="S703" s="49"/>
      <c r="T703" s="49">
        <v>-225141.37</v>
      </c>
      <c r="U703" s="49"/>
      <c r="V703" s="49"/>
      <c r="W703" s="49"/>
      <c r="X703" s="40">
        <f t="shared" si="78"/>
        <v>0</v>
      </c>
    </row>
    <row r="704" spans="2:24" ht="47.25" customHeight="1">
      <c r="B704" s="296"/>
      <c r="C704" s="296"/>
      <c r="D704" s="297"/>
      <c r="E704" s="31" t="s">
        <v>394</v>
      </c>
      <c r="F704" s="76"/>
      <c r="G704" s="99"/>
      <c r="H704" s="224"/>
      <c r="I704" s="255">
        <v>3210</v>
      </c>
      <c r="J704" s="128">
        <v>294968.9</v>
      </c>
      <c r="K704" s="49"/>
      <c r="L704" s="49"/>
      <c r="M704" s="49"/>
      <c r="N704" s="49"/>
      <c r="O704" s="49"/>
      <c r="P704" s="49"/>
      <c r="Q704" s="49"/>
      <c r="R704" s="49">
        <f>285418+9550.9</f>
        <v>294968.9</v>
      </c>
      <c r="S704" s="49"/>
      <c r="T704" s="49"/>
      <c r="U704" s="49">
        <f>9550.9-9550.9</f>
        <v>0</v>
      </c>
      <c r="V704" s="49"/>
      <c r="W704" s="49">
        <f>290075.3</f>
        <v>290075.3</v>
      </c>
      <c r="X704" s="40">
        <f t="shared" si="78"/>
        <v>4893.600000000035</v>
      </c>
    </row>
    <row r="705" spans="2:24" ht="47.25" customHeight="1">
      <c r="B705" s="296"/>
      <c r="C705" s="296"/>
      <c r="D705" s="297"/>
      <c r="E705" s="31" t="s">
        <v>395</v>
      </c>
      <c r="F705" s="76"/>
      <c r="G705" s="99"/>
      <c r="H705" s="224"/>
      <c r="I705" s="255">
        <v>3210</v>
      </c>
      <c r="J705" s="128">
        <v>390000</v>
      </c>
      <c r="K705" s="49"/>
      <c r="L705" s="49"/>
      <c r="M705" s="49"/>
      <c r="N705" s="49"/>
      <c r="O705" s="49"/>
      <c r="P705" s="49"/>
      <c r="Q705" s="49">
        <v>100000</v>
      </c>
      <c r="R705" s="49">
        <v>290000</v>
      </c>
      <c r="S705" s="49"/>
      <c r="T705" s="49"/>
      <c r="U705" s="49">
        <f>390000-390000</f>
        <v>0</v>
      </c>
      <c r="V705" s="49"/>
      <c r="W705" s="49"/>
      <c r="X705" s="40">
        <f t="shared" si="78"/>
        <v>390000</v>
      </c>
    </row>
    <row r="706" spans="2:24" ht="31.5">
      <c r="B706" s="296"/>
      <c r="C706" s="296"/>
      <c r="D706" s="297"/>
      <c r="E706" s="31" t="s">
        <v>396</v>
      </c>
      <c r="F706" s="76"/>
      <c r="G706" s="99"/>
      <c r="H706" s="224"/>
      <c r="I706" s="255">
        <v>3210</v>
      </c>
      <c r="J706" s="128">
        <f>195468.19+274531.81</f>
        <v>470000</v>
      </c>
      <c r="K706" s="49"/>
      <c r="L706" s="49">
        <v>125321.43</v>
      </c>
      <c r="M706" s="49"/>
      <c r="N706" s="49"/>
      <c r="O706" s="49">
        <v>70146.76</v>
      </c>
      <c r="P706" s="49">
        <v>274531.81</v>
      </c>
      <c r="Q706" s="49"/>
      <c r="R706" s="49"/>
      <c r="S706" s="49"/>
      <c r="T706" s="49"/>
      <c r="U706" s="49"/>
      <c r="V706" s="49"/>
      <c r="W706" s="49">
        <f>149708.52+15475.8+40249.08-300+111801.6-229.61</f>
        <v>316705.39</v>
      </c>
      <c r="X706" s="40">
        <f t="shared" si="78"/>
        <v>153294.61</v>
      </c>
    </row>
    <row r="707" spans="2:24" ht="15.75">
      <c r="B707" s="298" t="s">
        <v>377</v>
      </c>
      <c r="C707" s="298" t="s">
        <v>513</v>
      </c>
      <c r="D707" s="287" t="s">
        <v>228</v>
      </c>
      <c r="E707" s="67"/>
      <c r="F707" s="76"/>
      <c r="G707" s="99"/>
      <c r="H707" s="224"/>
      <c r="I707" s="255"/>
      <c r="J707" s="279">
        <f>SUM(J708:J709)</f>
        <v>1220500</v>
      </c>
      <c r="K707" s="279">
        <f aca="true" t="shared" si="86" ref="K707:W707">SUM(K708:K709)</f>
        <v>0</v>
      </c>
      <c r="L707" s="279">
        <f t="shared" si="86"/>
        <v>0</v>
      </c>
      <c r="M707" s="279">
        <f t="shared" si="86"/>
        <v>0</v>
      </c>
      <c r="N707" s="279">
        <f t="shared" si="86"/>
        <v>0</v>
      </c>
      <c r="O707" s="279">
        <f t="shared" si="86"/>
        <v>0</v>
      </c>
      <c r="P707" s="279">
        <f t="shared" si="86"/>
        <v>0</v>
      </c>
      <c r="Q707" s="279">
        <f t="shared" si="86"/>
        <v>0</v>
      </c>
      <c r="R707" s="279">
        <f t="shared" si="86"/>
        <v>0</v>
      </c>
      <c r="S707" s="279">
        <f t="shared" si="86"/>
        <v>1220500</v>
      </c>
      <c r="T707" s="279">
        <f t="shared" si="86"/>
        <v>0</v>
      </c>
      <c r="U707" s="279">
        <f t="shared" si="86"/>
        <v>0</v>
      </c>
      <c r="V707" s="279">
        <f t="shared" si="86"/>
        <v>0</v>
      </c>
      <c r="W707" s="279">
        <f t="shared" si="86"/>
        <v>1220500</v>
      </c>
      <c r="X707" s="184">
        <f t="shared" si="78"/>
        <v>0</v>
      </c>
    </row>
    <row r="708" spans="2:24" ht="236.25">
      <c r="B708" s="298"/>
      <c r="C708" s="298"/>
      <c r="D708" s="287"/>
      <c r="E708" s="12" t="s">
        <v>726</v>
      </c>
      <c r="F708" s="76"/>
      <c r="G708" s="99"/>
      <c r="H708" s="224"/>
      <c r="I708" s="255">
        <v>3220</v>
      </c>
      <c r="J708" s="21">
        <v>1008500</v>
      </c>
      <c r="K708" s="49"/>
      <c r="L708" s="49"/>
      <c r="M708" s="49"/>
      <c r="N708" s="49"/>
      <c r="O708" s="49"/>
      <c r="P708" s="49"/>
      <c r="Q708" s="49"/>
      <c r="R708" s="49"/>
      <c r="S708" s="21">
        <v>1008500</v>
      </c>
      <c r="T708" s="49"/>
      <c r="U708" s="49"/>
      <c r="V708" s="49"/>
      <c r="W708" s="49">
        <f>1008500-1008500+1008500</f>
        <v>1008500</v>
      </c>
      <c r="X708" s="40">
        <f t="shared" si="78"/>
        <v>0</v>
      </c>
    </row>
    <row r="709" spans="2:24" ht="141.75">
      <c r="B709" s="298"/>
      <c r="C709" s="298"/>
      <c r="D709" s="287"/>
      <c r="E709" s="12" t="s">
        <v>743</v>
      </c>
      <c r="F709" s="76"/>
      <c r="G709" s="99"/>
      <c r="H709" s="224"/>
      <c r="I709" s="255">
        <v>3220</v>
      </c>
      <c r="J709" s="21">
        <v>212000</v>
      </c>
      <c r="K709" s="49"/>
      <c r="L709" s="49"/>
      <c r="M709" s="49"/>
      <c r="N709" s="49"/>
      <c r="O709" s="49"/>
      <c r="P709" s="49"/>
      <c r="Q709" s="49"/>
      <c r="R709" s="49"/>
      <c r="S709" s="21">
        <v>212000</v>
      </c>
      <c r="T709" s="49"/>
      <c r="U709" s="49"/>
      <c r="V709" s="49"/>
      <c r="W709" s="49">
        <v>212000</v>
      </c>
      <c r="X709" s="40">
        <f t="shared" si="78"/>
        <v>0</v>
      </c>
    </row>
    <row r="710" spans="2:24" ht="15.75">
      <c r="B710" s="194"/>
      <c r="C710" s="195"/>
      <c r="D710" s="294" t="s">
        <v>511</v>
      </c>
      <c r="E710" s="295"/>
      <c r="F710" s="100"/>
      <c r="G710" s="101"/>
      <c r="H710" s="223"/>
      <c r="I710" s="254"/>
      <c r="J710" s="43">
        <f aca="true" t="shared" si="87" ref="J710:W710">J714+J720+J736+J740+J745+J749+J801+J807+J864+J738+J859+J711</f>
        <v>52255706.830000006</v>
      </c>
      <c r="K710" s="43">
        <f t="shared" si="87"/>
        <v>0</v>
      </c>
      <c r="L710" s="43">
        <f t="shared" si="87"/>
        <v>5764956.289999999</v>
      </c>
      <c r="M710" s="43">
        <f t="shared" si="87"/>
        <v>0</v>
      </c>
      <c r="N710" s="43">
        <f t="shared" si="87"/>
        <v>0</v>
      </c>
      <c r="O710" s="43">
        <f t="shared" si="87"/>
        <v>2741572.66</v>
      </c>
      <c r="P710" s="43">
        <f t="shared" si="87"/>
        <v>5980997.3</v>
      </c>
      <c r="Q710" s="43">
        <f t="shared" si="87"/>
        <v>5031760.970000001</v>
      </c>
      <c r="R710" s="43">
        <f t="shared" si="87"/>
        <v>10156573.33</v>
      </c>
      <c r="S710" s="43">
        <f t="shared" si="87"/>
        <v>14798971.28</v>
      </c>
      <c r="T710" s="43">
        <f t="shared" si="87"/>
        <v>7251625</v>
      </c>
      <c r="U710" s="43">
        <f t="shared" si="87"/>
        <v>414625</v>
      </c>
      <c r="V710" s="43">
        <f t="shared" si="87"/>
        <v>114625</v>
      </c>
      <c r="W710" s="43">
        <f t="shared" si="87"/>
        <v>25885570.830000002</v>
      </c>
      <c r="X710" s="60">
        <f t="shared" si="78"/>
        <v>26370136.000000004</v>
      </c>
    </row>
    <row r="711" spans="2:24" ht="15.75" customHeight="1" hidden="1">
      <c r="B711" s="299" t="s">
        <v>292</v>
      </c>
      <c r="C711" s="299" t="s">
        <v>290</v>
      </c>
      <c r="D711" s="288" t="s">
        <v>328</v>
      </c>
      <c r="E711" s="265"/>
      <c r="F711" s="76"/>
      <c r="G711" s="99"/>
      <c r="H711" s="224"/>
      <c r="I711" s="255"/>
      <c r="J711" s="211">
        <f aca="true" t="shared" si="88" ref="J711:W711">J712+J713</f>
        <v>0</v>
      </c>
      <c r="K711" s="211">
        <f t="shared" si="88"/>
        <v>0</v>
      </c>
      <c r="L711" s="211">
        <f t="shared" si="88"/>
        <v>0</v>
      </c>
      <c r="M711" s="211">
        <f t="shared" si="88"/>
        <v>0</v>
      </c>
      <c r="N711" s="211">
        <f t="shared" si="88"/>
        <v>0</v>
      </c>
      <c r="O711" s="211">
        <f t="shared" si="88"/>
        <v>0</v>
      </c>
      <c r="P711" s="211">
        <f t="shared" si="88"/>
        <v>0</v>
      </c>
      <c r="Q711" s="211">
        <f t="shared" si="88"/>
        <v>0</v>
      </c>
      <c r="R711" s="211">
        <f t="shared" si="88"/>
        <v>195000</v>
      </c>
      <c r="S711" s="211">
        <f t="shared" si="88"/>
        <v>0</v>
      </c>
      <c r="T711" s="211">
        <f t="shared" si="88"/>
        <v>0</v>
      </c>
      <c r="U711" s="211">
        <f t="shared" si="88"/>
        <v>-195000</v>
      </c>
      <c r="V711" s="211">
        <f t="shared" si="88"/>
        <v>0</v>
      </c>
      <c r="W711" s="211">
        <f t="shared" si="88"/>
        <v>0</v>
      </c>
      <c r="X711" s="40">
        <f t="shared" si="78"/>
        <v>0</v>
      </c>
    </row>
    <row r="712" spans="2:24" ht="15.75" hidden="1">
      <c r="B712" s="300"/>
      <c r="C712" s="300"/>
      <c r="D712" s="289"/>
      <c r="E712" s="12" t="s">
        <v>940</v>
      </c>
      <c r="F712" s="76"/>
      <c r="G712" s="99"/>
      <c r="H712" s="224"/>
      <c r="I712" s="255">
        <v>3110</v>
      </c>
      <c r="J712" s="128">
        <f>100000-100000</f>
        <v>0</v>
      </c>
      <c r="K712" s="102"/>
      <c r="L712" s="102"/>
      <c r="M712" s="102"/>
      <c r="N712" s="102"/>
      <c r="O712" s="102"/>
      <c r="P712" s="102"/>
      <c r="Q712" s="102"/>
      <c r="R712" s="76">
        <v>100000</v>
      </c>
      <c r="S712" s="102"/>
      <c r="T712" s="102"/>
      <c r="U712" s="102">
        <v>-100000</v>
      </c>
      <c r="V712" s="102"/>
      <c r="W712" s="102"/>
      <c r="X712" s="40">
        <f t="shared" si="78"/>
        <v>0</v>
      </c>
    </row>
    <row r="713" spans="2:24" ht="47.25" hidden="1">
      <c r="B713" s="301"/>
      <c r="C713" s="301"/>
      <c r="D713" s="290"/>
      <c r="E713" s="12" t="s">
        <v>941</v>
      </c>
      <c r="F713" s="76"/>
      <c r="G713" s="99"/>
      <c r="H713" s="224"/>
      <c r="I713" s="255">
        <v>3110</v>
      </c>
      <c r="J713" s="128">
        <f>95000-95000</f>
        <v>0</v>
      </c>
      <c r="K713" s="102"/>
      <c r="L713" s="102"/>
      <c r="M713" s="102"/>
      <c r="N713" s="102"/>
      <c r="O713" s="102"/>
      <c r="P713" s="102"/>
      <c r="Q713" s="102"/>
      <c r="R713" s="76">
        <v>95000</v>
      </c>
      <c r="S713" s="102"/>
      <c r="T713" s="102"/>
      <c r="U713" s="102">
        <v>-95000</v>
      </c>
      <c r="V713" s="102"/>
      <c r="W713" s="102"/>
      <c r="X713" s="40">
        <f t="shared" si="78"/>
        <v>0</v>
      </c>
    </row>
    <row r="714" spans="2:24" ht="15.75">
      <c r="B714" s="291" t="s">
        <v>485</v>
      </c>
      <c r="C714" s="291" t="s">
        <v>330</v>
      </c>
      <c r="D714" s="288" t="s">
        <v>417</v>
      </c>
      <c r="E714" s="94"/>
      <c r="F714" s="76"/>
      <c r="G714" s="99"/>
      <c r="H714" s="224"/>
      <c r="I714" s="255"/>
      <c r="J714" s="211">
        <f>SUM(J715:J719)</f>
        <v>739797.73</v>
      </c>
      <c r="K714" s="211">
        <f aca="true" t="shared" si="89" ref="K714:W714">SUM(K715:K719)</f>
        <v>0</v>
      </c>
      <c r="L714" s="211">
        <f t="shared" si="89"/>
        <v>376797.73</v>
      </c>
      <c r="M714" s="211">
        <f t="shared" si="89"/>
        <v>0</v>
      </c>
      <c r="N714" s="211">
        <f t="shared" si="89"/>
        <v>0</v>
      </c>
      <c r="O714" s="211">
        <f t="shared" si="89"/>
        <v>0</v>
      </c>
      <c r="P714" s="211">
        <f t="shared" si="89"/>
        <v>363000</v>
      </c>
      <c r="Q714" s="211">
        <f t="shared" si="89"/>
        <v>0</v>
      </c>
      <c r="R714" s="211">
        <f t="shared" si="89"/>
        <v>0</v>
      </c>
      <c r="S714" s="211">
        <f t="shared" si="89"/>
        <v>0</v>
      </c>
      <c r="T714" s="211">
        <f t="shared" si="89"/>
        <v>0</v>
      </c>
      <c r="U714" s="211">
        <f t="shared" si="89"/>
        <v>0</v>
      </c>
      <c r="V714" s="211">
        <f t="shared" si="89"/>
        <v>0</v>
      </c>
      <c r="W714" s="211">
        <f t="shared" si="89"/>
        <v>721261.44</v>
      </c>
      <c r="X714" s="184">
        <f t="shared" si="78"/>
        <v>18536.290000000037</v>
      </c>
    </row>
    <row r="715" spans="2:24" ht="94.5">
      <c r="B715" s="292"/>
      <c r="C715" s="292"/>
      <c r="D715" s="289"/>
      <c r="E715" s="12" t="s">
        <v>548</v>
      </c>
      <c r="F715" s="76">
        <v>200000</v>
      </c>
      <c r="G715" s="18">
        <f>100%-((F715-H715)/F715)</f>
        <v>0.52470885</v>
      </c>
      <c r="H715" s="224">
        <v>104941.77</v>
      </c>
      <c r="I715" s="255">
        <v>3132</v>
      </c>
      <c r="J715" s="9">
        <v>1440.73</v>
      </c>
      <c r="K715" s="49"/>
      <c r="L715" s="9">
        <v>1440.73</v>
      </c>
      <c r="M715" s="49"/>
      <c r="N715" s="49"/>
      <c r="O715" s="49"/>
      <c r="P715" s="49"/>
      <c r="Q715" s="49"/>
      <c r="R715" s="49"/>
      <c r="S715" s="49"/>
      <c r="T715" s="49"/>
      <c r="U715" s="49"/>
      <c r="V715" s="49"/>
      <c r="W715" s="49">
        <v>1440.73</v>
      </c>
      <c r="X715" s="40">
        <f t="shared" si="78"/>
        <v>0</v>
      </c>
    </row>
    <row r="716" spans="2:24" ht="47.25">
      <c r="B716" s="292"/>
      <c r="C716" s="292"/>
      <c r="D716" s="289"/>
      <c r="E716" s="12" t="s">
        <v>549</v>
      </c>
      <c r="F716" s="76">
        <v>621000</v>
      </c>
      <c r="G716" s="18">
        <f>100%-((F716-H716)/F716)</f>
        <v>0.394524959742351</v>
      </c>
      <c r="H716" s="224">
        <v>245000</v>
      </c>
      <c r="I716" s="255">
        <v>3132</v>
      </c>
      <c r="J716" s="9">
        <v>375357</v>
      </c>
      <c r="K716" s="49"/>
      <c r="L716" s="9">
        <v>375357</v>
      </c>
      <c r="M716" s="49"/>
      <c r="N716" s="49"/>
      <c r="O716" s="49"/>
      <c r="P716" s="49"/>
      <c r="Q716" s="49"/>
      <c r="R716" s="49"/>
      <c r="S716" s="49"/>
      <c r="T716" s="49"/>
      <c r="U716" s="49"/>
      <c r="V716" s="49"/>
      <c r="W716" s="49">
        <v>375357</v>
      </c>
      <c r="X716" s="40">
        <f t="shared" si="78"/>
        <v>0</v>
      </c>
    </row>
    <row r="717" spans="2:24" ht="78.75">
      <c r="B717" s="292"/>
      <c r="C717" s="292"/>
      <c r="D717" s="289"/>
      <c r="E717" s="12" t="s">
        <v>365</v>
      </c>
      <c r="F717" s="76">
        <v>200000</v>
      </c>
      <c r="G717" s="18">
        <f>100%-((F717-H717)/F717)</f>
        <v>0.52470885</v>
      </c>
      <c r="H717" s="224">
        <v>104941.77</v>
      </c>
      <c r="I717" s="255">
        <v>3132</v>
      </c>
      <c r="J717" s="9">
        <v>97000</v>
      </c>
      <c r="K717" s="49"/>
      <c r="L717" s="49"/>
      <c r="M717" s="49"/>
      <c r="N717" s="49"/>
      <c r="O717" s="49"/>
      <c r="P717" s="49">
        <v>97000</v>
      </c>
      <c r="Q717" s="49"/>
      <c r="R717" s="49"/>
      <c r="S717" s="49"/>
      <c r="T717" s="49"/>
      <c r="U717" s="49"/>
      <c r="V717" s="49"/>
      <c r="W717" s="49">
        <f>80365.2+1236.3</f>
        <v>81601.5</v>
      </c>
      <c r="X717" s="40">
        <f t="shared" si="78"/>
        <v>15398.5</v>
      </c>
    </row>
    <row r="718" spans="2:24" ht="31.5">
      <c r="B718" s="292"/>
      <c r="C718" s="292"/>
      <c r="D718" s="289"/>
      <c r="E718" s="12" t="s">
        <v>712</v>
      </c>
      <c r="F718" s="76"/>
      <c r="G718" s="18"/>
      <c r="H718" s="224"/>
      <c r="I718" s="255">
        <v>3132</v>
      </c>
      <c r="J718" s="9">
        <v>21000</v>
      </c>
      <c r="K718" s="49"/>
      <c r="L718" s="49"/>
      <c r="M718" s="49"/>
      <c r="N718" s="49"/>
      <c r="O718" s="49"/>
      <c r="P718" s="49">
        <v>21000</v>
      </c>
      <c r="Q718" s="49"/>
      <c r="R718" s="49"/>
      <c r="S718" s="49"/>
      <c r="T718" s="49"/>
      <c r="U718" s="49"/>
      <c r="V718" s="49"/>
      <c r="W718" s="49">
        <v>20449.48</v>
      </c>
      <c r="X718" s="40">
        <f t="shared" si="78"/>
        <v>550.5200000000004</v>
      </c>
    </row>
    <row r="719" spans="2:24" ht="47.25">
      <c r="B719" s="292"/>
      <c r="C719" s="292"/>
      <c r="D719" s="289"/>
      <c r="E719" s="130" t="s">
        <v>43</v>
      </c>
      <c r="F719" s="66">
        <v>621000</v>
      </c>
      <c r="G719" s="18">
        <f>100%-((F719-H719)/F719)</f>
        <v>0.394524959742351</v>
      </c>
      <c r="H719" s="218">
        <v>245000</v>
      </c>
      <c r="I719" s="255">
        <v>3132</v>
      </c>
      <c r="J719" s="66">
        <v>245000</v>
      </c>
      <c r="K719" s="49"/>
      <c r="L719" s="49"/>
      <c r="M719" s="49"/>
      <c r="N719" s="49"/>
      <c r="O719" s="49"/>
      <c r="P719" s="49">
        <v>245000</v>
      </c>
      <c r="Q719" s="49"/>
      <c r="R719" s="49"/>
      <c r="S719" s="49"/>
      <c r="T719" s="49"/>
      <c r="U719" s="49"/>
      <c r="V719" s="49"/>
      <c r="W719" s="49">
        <f>118516.8+2295+117949.2+3651.73</f>
        <v>242412.73</v>
      </c>
      <c r="X719" s="40">
        <f t="shared" si="78"/>
        <v>2587.2699999999895</v>
      </c>
    </row>
    <row r="720" spans="2:24" ht="15.75">
      <c r="B720" s="291" t="s">
        <v>486</v>
      </c>
      <c r="C720" s="291" t="s">
        <v>353</v>
      </c>
      <c r="D720" s="288" t="s">
        <v>352</v>
      </c>
      <c r="E720" s="94"/>
      <c r="F720" s="76"/>
      <c r="G720" s="99"/>
      <c r="H720" s="224"/>
      <c r="I720" s="255"/>
      <c r="J720" s="211">
        <f>SUM(J721:J735)</f>
        <v>1450213.17</v>
      </c>
      <c r="K720" s="211">
        <f aca="true" t="shared" si="90" ref="K720:W720">SUM(K721:K735)</f>
        <v>0</v>
      </c>
      <c r="L720" s="211">
        <f t="shared" si="90"/>
        <v>972193.17</v>
      </c>
      <c r="M720" s="211">
        <f t="shared" si="90"/>
        <v>0</v>
      </c>
      <c r="N720" s="211">
        <f t="shared" si="90"/>
        <v>0</v>
      </c>
      <c r="O720" s="211">
        <f t="shared" si="90"/>
        <v>45400</v>
      </c>
      <c r="P720" s="211">
        <f t="shared" si="90"/>
        <v>120000</v>
      </c>
      <c r="Q720" s="211">
        <f t="shared" si="90"/>
        <v>140000</v>
      </c>
      <c r="R720" s="211">
        <f t="shared" si="90"/>
        <v>0</v>
      </c>
      <c r="S720" s="211">
        <f t="shared" si="90"/>
        <v>200000</v>
      </c>
      <c r="T720" s="211">
        <f t="shared" si="90"/>
        <v>0</v>
      </c>
      <c r="U720" s="211">
        <f t="shared" si="90"/>
        <v>25620</v>
      </c>
      <c r="V720" s="211">
        <f t="shared" si="90"/>
        <v>-53000</v>
      </c>
      <c r="W720" s="211">
        <f t="shared" si="90"/>
        <v>1012283.1599999999</v>
      </c>
      <c r="X720" s="184">
        <f t="shared" si="78"/>
        <v>437930.01</v>
      </c>
    </row>
    <row r="721" spans="2:24" ht="63">
      <c r="B721" s="292"/>
      <c r="C721" s="292"/>
      <c r="D721" s="289"/>
      <c r="E721" s="12" t="s">
        <v>332</v>
      </c>
      <c r="F721" s="76">
        <v>1058633</v>
      </c>
      <c r="G721" s="18">
        <f aca="true" t="shared" si="91" ref="G721:G728">100%-((F721-H721)/F721)</f>
        <v>0.3542304084607225</v>
      </c>
      <c r="H721" s="224">
        <v>375000</v>
      </c>
      <c r="I721" s="255">
        <v>3132</v>
      </c>
      <c r="J721" s="9">
        <v>4969.61</v>
      </c>
      <c r="K721" s="49"/>
      <c r="L721" s="9">
        <v>4969.61</v>
      </c>
      <c r="M721" s="49"/>
      <c r="N721" s="49"/>
      <c r="O721" s="49"/>
      <c r="P721" s="49"/>
      <c r="Q721" s="49"/>
      <c r="R721" s="49"/>
      <c r="S721" s="49"/>
      <c r="T721" s="49"/>
      <c r="U721" s="49"/>
      <c r="V721" s="49"/>
      <c r="W721" s="49">
        <v>4969.61</v>
      </c>
      <c r="X721" s="40">
        <f t="shared" si="78"/>
        <v>0</v>
      </c>
    </row>
    <row r="722" spans="2:24" ht="63">
      <c r="B722" s="292"/>
      <c r="C722" s="292"/>
      <c r="D722" s="289"/>
      <c r="E722" s="12" t="s">
        <v>607</v>
      </c>
      <c r="F722" s="76">
        <v>207154</v>
      </c>
      <c r="G722" s="18">
        <f t="shared" si="91"/>
        <v>0.42774525232435767</v>
      </c>
      <c r="H722" s="224">
        <v>88609.14</v>
      </c>
      <c r="I722" s="255">
        <v>3132</v>
      </c>
      <c r="J722" s="9">
        <v>88209.14</v>
      </c>
      <c r="K722" s="49"/>
      <c r="L722" s="9">
        <v>88209.14</v>
      </c>
      <c r="M722" s="49"/>
      <c r="N722" s="49"/>
      <c r="O722" s="49"/>
      <c r="P722" s="49"/>
      <c r="Q722" s="49"/>
      <c r="R722" s="49"/>
      <c r="S722" s="49"/>
      <c r="T722" s="49"/>
      <c r="U722" s="49"/>
      <c r="V722" s="49"/>
      <c r="W722" s="49">
        <v>88209.14</v>
      </c>
      <c r="X722" s="40">
        <f t="shared" si="78"/>
        <v>0</v>
      </c>
    </row>
    <row r="723" spans="2:24" ht="63">
      <c r="B723" s="292"/>
      <c r="C723" s="292"/>
      <c r="D723" s="289"/>
      <c r="E723" s="12" t="s">
        <v>608</v>
      </c>
      <c r="F723" s="76">
        <v>336363</v>
      </c>
      <c r="G723" s="18">
        <f t="shared" si="91"/>
        <v>0.12308146258655084</v>
      </c>
      <c r="H723" s="224">
        <v>41400.05</v>
      </c>
      <c r="I723" s="255">
        <v>3132</v>
      </c>
      <c r="J723" s="9">
        <v>11801.35</v>
      </c>
      <c r="K723" s="49"/>
      <c r="L723" s="9">
        <v>11801.35</v>
      </c>
      <c r="M723" s="49"/>
      <c r="N723" s="49"/>
      <c r="O723" s="49"/>
      <c r="P723" s="49"/>
      <c r="Q723" s="49"/>
      <c r="R723" s="49"/>
      <c r="S723" s="49"/>
      <c r="T723" s="49"/>
      <c r="U723" s="49"/>
      <c r="V723" s="49"/>
      <c r="W723" s="49">
        <v>11801.35</v>
      </c>
      <c r="X723" s="40">
        <f t="shared" si="78"/>
        <v>0</v>
      </c>
    </row>
    <row r="724" spans="2:24" ht="63">
      <c r="B724" s="292"/>
      <c r="C724" s="292"/>
      <c r="D724" s="289"/>
      <c r="E724" s="12" t="s">
        <v>572</v>
      </c>
      <c r="F724" s="76">
        <v>409098</v>
      </c>
      <c r="G724" s="18">
        <f t="shared" si="91"/>
        <v>0.003103412874176814</v>
      </c>
      <c r="H724" s="224">
        <v>1269.6</v>
      </c>
      <c r="I724" s="255">
        <v>3132</v>
      </c>
      <c r="J724" s="9">
        <v>407828.4</v>
      </c>
      <c r="K724" s="49"/>
      <c r="L724" s="9">
        <v>407828.4</v>
      </c>
      <c r="M724" s="49"/>
      <c r="N724" s="49"/>
      <c r="O724" s="49"/>
      <c r="P724" s="49"/>
      <c r="Q724" s="49"/>
      <c r="R724" s="49"/>
      <c r="S724" s="49"/>
      <c r="T724" s="49"/>
      <c r="U724" s="49"/>
      <c r="V724" s="49"/>
      <c r="W724" s="49">
        <v>407828.4</v>
      </c>
      <c r="X724" s="40">
        <f t="shared" si="78"/>
        <v>0</v>
      </c>
    </row>
    <row r="725" spans="2:24" ht="63">
      <c r="B725" s="292"/>
      <c r="C725" s="292"/>
      <c r="D725" s="289"/>
      <c r="E725" s="12" t="s">
        <v>560</v>
      </c>
      <c r="F725" s="76">
        <v>499168</v>
      </c>
      <c r="G725" s="18">
        <f t="shared" si="91"/>
        <v>0.0321609357971665</v>
      </c>
      <c r="H725" s="224">
        <v>16053.71</v>
      </c>
      <c r="I725" s="255">
        <v>3132</v>
      </c>
      <c r="J725" s="9">
        <v>246438.89</v>
      </c>
      <c r="K725" s="49"/>
      <c r="L725" s="9">
        <v>246438.89</v>
      </c>
      <c r="M725" s="49"/>
      <c r="N725" s="49"/>
      <c r="O725" s="49"/>
      <c r="P725" s="49"/>
      <c r="Q725" s="49"/>
      <c r="R725" s="49"/>
      <c r="S725" s="49"/>
      <c r="T725" s="49"/>
      <c r="U725" s="49"/>
      <c r="V725" s="49"/>
      <c r="W725" s="49">
        <v>246438.89</v>
      </c>
      <c r="X725" s="40">
        <f t="shared" si="78"/>
        <v>0</v>
      </c>
    </row>
    <row r="726" spans="2:24" ht="78.75">
      <c r="B726" s="292"/>
      <c r="C726" s="292"/>
      <c r="D726" s="289"/>
      <c r="E726" s="12" t="s">
        <v>338</v>
      </c>
      <c r="F726" s="76">
        <v>248770</v>
      </c>
      <c r="G726" s="18">
        <f t="shared" si="91"/>
        <v>0.08337271375165822</v>
      </c>
      <c r="H726" s="224">
        <v>20740.63</v>
      </c>
      <c r="I726" s="255">
        <v>3132</v>
      </c>
      <c r="J726" s="9">
        <v>555</v>
      </c>
      <c r="K726" s="49"/>
      <c r="L726" s="9">
        <v>555</v>
      </c>
      <c r="M726" s="49"/>
      <c r="N726" s="49"/>
      <c r="O726" s="49"/>
      <c r="P726" s="49"/>
      <c r="Q726" s="49"/>
      <c r="R726" s="49"/>
      <c r="S726" s="49"/>
      <c r="T726" s="49"/>
      <c r="U726" s="49"/>
      <c r="V726" s="49"/>
      <c r="W726" s="49">
        <v>555</v>
      </c>
      <c r="X726" s="40">
        <f t="shared" si="78"/>
        <v>0</v>
      </c>
    </row>
    <row r="727" spans="2:24" ht="63">
      <c r="B727" s="292"/>
      <c r="C727" s="292"/>
      <c r="D727" s="289"/>
      <c r="E727" s="12" t="s">
        <v>606</v>
      </c>
      <c r="F727" s="76">
        <v>1058633</v>
      </c>
      <c r="G727" s="18">
        <f t="shared" si="91"/>
        <v>0.3542304084607225</v>
      </c>
      <c r="H727" s="224">
        <v>375000</v>
      </c>
      <c r="I727" s="255">
        <v>3132</v>
      </c>
      <c r="J727" s="9">
        <f>182390.78-53000</f>
        <v>129390.78</v>
      </c>
      <c r="K727" s="49"/>
      <c r="L727" s="9">
        <v>182390.78</v>
      </c>
      <c r="M727" s="49"/>
      <c r="N727" s="49"/>
      <c r="O727" s="49"/>
      <c r="P727" s="49"/>
      <c r="Q727" s="49"/>
      <c r="R727" s="49"/>
      <c r="S727" s="49"/>
      <c r="T727" s="49"/>
      <c r="U727" s="49"/>
      <c r="V727" s="49">
        <v>-53000</v>
      </c>
      <c r="W727" s="49">
        <f>182390.78-182390.78</f>
        <v>0</v>
      </c>
      <c r="X727" s="40">
        <f aca="true" t="shared" si="92" ref="X727:X790">J727-W727</f>
        <v>129390.78</v>
      </c>
    </row>
    <row r="728" spans="2:24" ht="63">
      <c r="B728" s="292"/>
      <c r="C728" s="292"/>
      <c r="D728" s="289"/>
      <c r="E728" s="10" t="s">
        <v>318</v>
      </c>
      <c r="F728" s="76">
        <v>105000</v>
      </c>
      <c r="G728" s="18">
        <f t="shared" si="91"/>
        <v>1</v>
      </c>
      <c r="H728" s="224">
        <v>105000</v>
      </c>
      <c r="I728" s="255">
        <v>3132</v>
      </c>
      <c r="J728" s="9">
        <v>30000</v>
      </c>
      <c r="K728" s="49"/>
      <c r="L728" s="9">
        <v>30000</v>
      </c>
      <c r="M728" s="49"/>
      <c r="N728" s="49"/>
      <c r="O728" s="49"/>
      <c r="P728" s="49"/>
      <c r="Q728" s="49"/>
      <c r="R728" s="49"/>
      <c r="S728" s="49"/>
      <c r="T728" s="49"/>
      <c r="U728" s="49"/>
      <c r="V728" s="49"/>
      <c r="W728" s="49">
        <v>30000</v>
      </c>
      <c r="X728" s="40">
        <f t="shared" si="92"/>
        <v>0</v>
      </c>
    </row>
    <row r="729" spans="2:24" ht="47.25">
      <c r="B729" s="292"/>
      <c r="C729" s="292"/>
      <c r="D729" s="289"/>
      <c r="E729" s="130" t="s">
        <v>366</v>
      </c>
      <c r="F729" s="66">
        <v>207154</v>
      </c>
      <c r="G729" s="18">
        <f>100%-((F729-H729)/F729)</f>
        <v>0.0019309306120084413</v>
      </c>
      <c r="H729" s="218">
        <v>400</v>
      </c>
      <c r="I729" s="255">
        <v>3132</v>
      </c>
      <c r="J729" s="66">
        <v>400</v>
      </c>
      <c r="K729" s="49"/>
      <c r="L729" s="49"/>
      <c r="M729" s="49"/>
      <c r="N729" s="49"/>
      <c r="O729" s="49">
        <v>400</v>
      </c>
      <c r="P729" s="49"/>
      <c r="Q729" s="49"/>
      <c r="R729" s="49"/>
      <c r="S729" s="49"/>
      <c r="T729" s="49"/>
      <c r="U729" s="49"/>
      <c r="V729" s="49"/>
      <c r="W729" s="49"/>
      <c r="X729" s="40">
        <f t="shared" si="92"/>
        <v>400</v>
      </c>
    </row>
    <row r="730" spans="2:24" ht="63">
      <c r="B730" s="292"/>
      <c r="C730" s="292"/>
      <c r="D730" s="289"/>
      <c r="E730" s="130" t="s">
        <v>33</v>
      </c>
      <c r="F730" s="66">
        <v>105000</v>
      </c>
      <c r="G730" s="18">
        <f>100%-((F730-H730)/F730)</f>
        <v>1</v>
      </c>
      <c r="H730" s="218">
        <v>105000</v>
      </c>
      <c r="I730" s="255">
        <v>3132</v>
      </c>
      <c r="J730" s="66">
        <v>105000</v>
      </c>
      <c r="K730" s="49"/>
      <c r="L730" s="49"/>
      <c r="M730" s="49"/>
      <c r="N730" s="49"/>
      <c r="O730" s="49">
        <v>45000</v>
      </c>
      <c r="P730" s="49">
        <v>20000</v>
      </c>
      <c r="Q730" s="49">
        <v>40000</v>
      </c>
      <c r="R730" s="49"/>
      <c r="S730" s="49"/>
      <c r="T730" s="49"/>
      <c r="U730" s="49"/>
      <c r="V730" s="49"/>
      <c r="W730" s="49">
        <f>40927.75+6080+2192+21071</f>
        <v>70270.75</v>
      </c>
      <c r="X730" s="40">
        <f t="shared" si="92"/>
        <v>34729.25</v>
      </c>
    </row>
    <row r="731" spans="2:24" ht="47.25">
      <c r="B731" s="292"/>
      <c r="C731" s="292"/>
      <c r="D731" s="289"/>
      <c r="E731" s="130" t="s">
        <v>775</v>
      </c>
      <c r="F731" s="66"/>
      <c r="G731" s="18"/>
      <c r="H731" s="218"/>
      <c r="I731" s="255">
        <v>3132</v>
      </c>
      <c r="J731" s="66">
        <v>150000</v>
      </c>
      <c r="K731" s="49"/>
      <c r="L731" s="49"/>
      <c r="M731" s="49"/>
      <c r="N731" s="49"/>
      <c r="O731" s="49"/>
      <c r="P731" s="49"/>
      <c r="Q731" s="49"/>
      <c r="R731" s="49"/>
      <c r="S731" s="49">
        <v>150000</v>
      </c>
      <c r="T731" s="49"/>
      <c r="U731" s="49"/>
      <c r="V731" s="49"/>
      <c r="W731" s="49"/>
      <c r="X731" s="40">
        <f t="shared" si="92"/>
        <v>150000</v>
      </c>
    </row>
    <row r="732" spans="2:24" ht="47.25">
      <c r="B732" s="292"/>
      <c r="C732" s="292"/>
      <c r="D732" s="289"/>
      <c r="E732" s="130" t="s">
        <v>16</v>
      </c>
      <c r="F732" s="66"/>
      <c r="G732" s="18"/>
      <c r="H732" s="218"/>
      <c r="I732" s="255">
        <v>3132</v>
      </c>
      <c r="J732" s="66">
        <v>50000</v>
      </c>
      <c r="K732" s="49"/>
      <c r="L732" s="49"/>
      <c r="M732" s="49"/>
      <c r="N732" s="49"/>
      <c r="O732" s="49"/>
      <c r="P732" s="49"/>
      <c r="Q732" s="49"/>
      <c r="R732" s="49"/>
      <c r="S732" s="49">
        <v>50000</v>
      </c>
      <c r="T732" s="49"/>
      <c r="U732" s="49"/>
      <c r="V732" s="49"/>
      <c r="W732" s="49">
        <f>14976+19968</f>
        <v>34944</v>
      </c>
      <c r="X732" s="40">
        <f t="shared" si="92"/>
        <v>15056</v>
      </c>
    </row>
    <row r="733" spans="2:24" ht="63">
      <c r="B733" s="292"/>
      <c r="C733" s="292"/>
      <c r="D733" s="289"/>
      <c r="E733" s="130" t="s">
        <v>144</v>
      </c>
      <c r="F733" s="66"/>
      <c r="G733" s="18"/>
      <c r="H733" s="218"/>
      <c r="I733" s="255">
        <v>3132</v>
      </c>
      <c r="J733" s="66">
        <v>1620</v>
      </c>
      <c r="K733" s="49"/>
      <c r="L733" s="49"/>
      <c r="M733" s="49"/>
      <c r="N733" s="49"/>
      <c r="O733" s="49"/>
      <c r="P733" s="49"/>
      <c r="Q733" s="49"/>
      <c r="R733" s="49"/>
      <c r="S733" s="49"/>
      <c r="T733" s="49"/>
      <c r="U733" s="49">
        <v>1620</v>
      </c>
      <c r="V733" s="49"/>
      <c r="W733" s="49">
        <v>1482.32</v>
      </c>
      <c r="X733" s="40">
        <f t="shared" si="92"/>
        <v>137.68000000000006</v>
      </c>
    </row>
    <row r="734" spans="2:24" ht="31.5">
      <c r="B734" s="292"/>
      <c r="C734" s="292"/>
      <c r="D734" s="289"/>
      <c r="E734" s="130" t="s">
        <v>647</v>
      </c>
      <c r="F734" s="66"/>
      <c r="G734" s="18"/>
      <c r="H734" s="218"/>
      <c r="I734" s="255">
        <v>3132</v>
      </c>
      <c r="J734" s="66">
        <v>24000</v>
      </c>
      <c r="K734" s="49"/>
      <c r="L734" s="49"/>
      <c r="M734" s="49"/>
      <c r="N734" s="49"/>
      <c r="O734" s="49"/>
      <c r="P734" s="49"/>
      <c r="Q734" s="49"/>
      <c r="R734" s="49"/>
      <c r="S734" s="49"/>
      <c r="T734" s="49"/>
      <c r="U734" s="49">
        <v>24000</v>
      </c>
      <c r="V734" s="49"/>
      <c r="W734" s="49">
        <f>16197.6</f>
        <v>16197.6</v>
      </c>
      <c r="X734" s="40">
        <f t="shared" si="92"/>
        <v>7802.4</v>
      </c>
    </row>
    <row r="735" spans="2:24" ht="47.25">
      <c r="B735" s="293"/>
      <c r="C735" s="293"/>
      <c r="D735" s="290"/>
      <c r="E735" s="130" t="s">
        <v>609</v>
      </c>
      <c r="F735" s="66">
        <v>200000</v>
      </c>
      <c r="G735" s="18">
        <f>100%-((F735-H735)/F735)</f>
        <v>1</v>
      </c>
      <c r="H735" s="218">
        <v>200000</v>
      </c>
      <c r="I735" s="255">
        <v>3132</v>
      </c>
      <c r="J735" s="66">
        <v>200000</v>
      </c>
      <c r="K735" s="49"/>
      <c r="L735" s="49"/>
      <c r="M735" s="49"/>
      <c r="N735" s="49"/>
      <c r="O735" s="49"/>
      <c r="P735" s="49">
        <v>100000</v>
      </c>
      <c r="Q735" s="49">
        <v>100000</v>
      </c>
      <c r="R735" s="49"/>
      <c r="S735" s="49"/>
      <c r="T735" s="49"/>
      <c r="U735" s="49"/>
      <c r="V735" s="49"/>
      <c r="W735" s="49">
        <f>7196.4+45510.6+45510.6+1368.5</f>
        <v>99586.1</v>
      </c>
      <c r="X735" s="40">
        <f t="shared" si="92"/>
        <v>100413.9</v>
      </c>
    </row>
    <row r="736" spans="2:24" ht="15.75">
      <c r="B736" s="291" t="s">
        <v>356</v>
      </c>
      <c r="C736" s="291" t="s">
        <v>431</v>
      </c>
      <c r="D736" s="288" t="s">
        <v>139</v>
      </c>
      <c r="E736" s="94"/>
      <c r="F736" s="76"/>
      <c r="G736" s="99"/>
      <c r="H736" s="224"/>
      <c r="I736" s="255"/>
      <c r="J736" s="211">
        <f>J737</f>
        <v>1502.62</v>
      </c>
      <c r="K736" s="211">
        <f aca="true" t="shared" si="93" ref="K736:W736">K737</f>
        <v>0</v>
      </c>
      <c r="L736" s="211">
        <f t="shared" si="93"/>
        <v>1502.62</v>
      </c>
      <c r="M736" s="211">
        <f t="shared" si="93"/>
        <v>0</v>
      </c>
      <c r="N736" s="211">
        <f t="shared" si="93"/>
        <v>0</v>
      </c>
      <c r="O736" s="211">
        <f t="shared" si="93"/>
        <v>0</v>
      </c>
      <c r="P736" s="211">
        <f t="shared" si="93"/>
        <v>0</v>
      </c>
      <c r="Q736" s="211">
        <f t="shared" si="93"/>
        <v>0</v>
      </c>
      <c r="R736" s="211">
        <f t="shared" si="93"/>
        <v>0</v>
      </c>
      <c r="S736" s="211">
        <f t="shared" si="93"/>
        <v>0</v>
      </c>
      <c r="T736" s="211">
        <f t="shared" si="93"/>
        <v>0</v>
      </c>
      <c r="U736" s="211">
        <f t="shared" si="93"/>
        <v>0</v>
      </c>
      <c r="V736" s="211">
        <f t="shared" si="93"/>
        <v>0</v>
      </c>
      <c r="W736" s="211">
        <f t="shared" si="93"/>
        <v>1502.62</v>
      </c>
      <c r="X736" s="184">
        <f t="shared" si="92"/>
        <v>0</v>
      </c>
    </row>
    <row r="737" spans="2:24" ht="110.25">
      <c r="B737" s="293"/>
      <c r="C737" s="293"/>
      <c r="D737" s="290"/>
      <c r="E737" s="10" t="s">
        <v>973</v>
      </c>
      <c r="F737" s="76">
        <v>91696</v>
      </c>
      <c r="G737" s="18">
        <f>100%-((F737-H737)/F737)</f>
        <v>0.016386974350026118</v>
      </c>
      <c r="H737" s="224">
        <v>1502.62</v>
      </c>
      <c r="I737" s="255">
        <v>3132</v>
      </c>
      <c r="J737" s="76">
        <v>1502.62</v>
      </c>
      <c r="K737" s="49"/>
      <c r="L737" s="76">
        <v>1502.62</v>
      </c>
      <c r="M737" s="49"/>
      <c r="N737" s="49"/>
      <c r="O737" s="49"/>
      <c r="P737" s="49"/>
      <c r="Q737" s="49"/>
      <c r="R737" s="49"/>
      <c r="S737" s="49"/>
      <c r="T737" s="49"/>
      <c r="U737" s="49"/>
      <c r="V737" s="49"/>
      <c r="W737" s="49">
        <v>1502.62</v>
      </c>
      <c r="X737" s="40">
        <f t="shared" si="92"/>
        <v>0</v>
      </c>
    </row>
    <row r="738" spans="2:24" ht="15.75">
      <c r="B738" s="302" t="s">
        <v>575</v>
      </c>
      <c r="C738" s="302" t="s">
        <v>568</v>
      </c>
      <c r="D738" s="288" t="s">
        <v>877</v>
      </c>
      <c r="E738" s="131"/>
      <c r="F738" s="102"/>
      <c r="G738" s="132"/>
      <c r="H738" s="241"/>
      <c r="I738" s="255"/>
      <c r="J738" s="211">
        <f>J739</f>
        <v>100000</v>
      </c>
      <c r="K738" s="211">
        <f aca="true" t="shared" si="94" ref="K738:W738">K739</f>
        <v>0</v>
      </c>
      <c r="L738" s="211">
        <f t="shared" si="94"/>
        <v>0</v>
      </c>
      <c r="M738" s="211">
        <f t="shared" si="94"/>
        <v>0</v>
      </c>
      <c r="N738" s="211">
        <f t="shared" si="94"/>
        <v>0</v>
      </c>
      <c r="O738" s="211">
        <f t="shared" si="94"/>
        <v>0</v>
      </c>
      <c r="P738" s="211">
        <f t="shared" si="94"/>
        <v>50000</v>
      </c>
      <c r="Q738" s="211">
        <f t="shared" si="94"/>
        <v>0</v>
      </c>
      <c r="R738" s="211">
        <f t="shared" si="94"/>
        <v>0</v>
      </c>
      <c r="S738" s="211">
        <f t="shared" si="94"/>
        <v>50000</v>
      </c>
      <c r="T738" s="211">
        <f t="shared" si="94"/>
        <v>0</v>
      </c>
      <c r="U738" s="211">
        <f t="shared" si="94"/>
        <v>0</v>
      </c>
      <c r="V738" s="211">
        <f t="shared" si="94"/>
        <v>0</v>
      </c>
      <c r="W738" s="211">
        <f t="shared" si="94"/>
        <v>0</v>
      </c>
      <c r="X738" s="184">
        <f t="shared" si="92"/>
        <v>100000</v>
      </c>
    </row>
    <row r="739" spans="2:24" ht="63">
      <c r="B739" s="303"/>
      <c r="C739" s="303"/>
      <c r="D739" s="289"/>
      <c r="E739" s="130" t="s">
        <v>610</v>
      </c>
      <c r="F739" s="66">
        <v>45000</v>
      </c>
      <c r="G739" s="18">
        <f>100%-((F739-H739)/F739)</f>
        <v>1</v>
      </c>
      <c r="H739" s="218">
        <v>45000</v>
      </c>
      <c r="I739" s="255">
        <v>3131</v>
      </c>
      <c r="J739" s="66">
        <v>100000</v>
      </c>
      <c r="K739" s="49"/>
      <c r="L739" s="49"/>
      <c r="M739" s="49"/>
      <c r="N739" s="49"/>
      <c r="O739" s="49"/>
      <c r="P739" s="49">
        <v>50000</v>
      </c>
      <c r="Q739" s="49"/>
      <c r="R739" s="49"/>
      <c r="S739" s="49">
        <v>50000</v>
      </c>
      <c r="T739" s="49"/>
      <c r="U739" s="49"/>
      <c r="V739" s="49"/>
      <c r="W739" s="49"/>
      <c r="X739" s="40">
        <f t="shared" si="92"/>
        <v>100000</v>
      </c>
    </row>
    <row r="740" spans="2:24" ht="15.75">
      <c r="B740" s="291" t="s">
        <v>567</v>
      </c>
      <c r="C740" s="291" t="s">
        <v>570</v>
      </c>
      <c r="D740" s="288" t="s">
        <v>250</v>
      </c>
      <c r="E740" s="94"/>
      <c r="F740" s="76"/>
      <c r="G740" s="99"/>
      <c r="H740" s="224"/>
      <c r="I740" s="255"/>
      <c r="J740" s="211">
        <f>SUM(J741:J744)</f>
        <v>16862</v>
      </c>
      <c r="K740" s="211">
        <f aca="true" t="shared" si="95" ref="K740:W740">SUM(K741:K744)</f>
        <v>0</v>
      </c>
      <c r="L740" s="211">
        <f t="shared" si="95"/>
        <v>5862</v>
      </c>
      <c r="M740" s="211">
        <f t="shared" si="95"/>
        <v>0</v>
      </c>
      <c r="N740" s="211">
        <f t="shared" si="95"/>
        <v>0</v>
      </c>
      <c r="O740" s="211">
        <f t="shared" si="95"/>
        <v>30000</v>
      </c>
      <c r="P740" s="211">
        <f t="shared" si="95"/>
        <v>-19000</v>
      </c>
      <c r="Q740" s="211">
        <f t="shared" si="95"/>
        <v>0</v>
      </c>
      <c r="R740" s="211">
        <f t="shared" si="95"/>
        <v>0</v>
      </c>
      <c r="S740" s="211">
        <f t="shared" si="95"/>
        <v>0</v>
      </c>
      <c r="T740" s="211">
        <f t="shared" si="95"/>
        <v>0</v>
      </c>
      <c r="U740" s="211">
        <f t="shared" si="95"/>
        <v>0</v>
      </c>
      <c r="V740" s="211">
        <f t="shared" si="95"/>
        <v>0</v>
      </c>
      <c r="W740" s="211">
        <f t="shared" si="95"/>
        <v>15720.16</v>
      </c>
      <c r="X740" s="184">
        <f t="shared" si="92"/>
        <v>1141.8400000000001</v>
      </c>
    </row>
    <row r="741" spans="2:24" ht="78.75">
      <c r="B741" s="292"/>
      <c r="C741" s="292"/>
      <c r="D741" s="289"/>
      <c r="E741" s="12" t="s">
        <v>208</v>
      </c>
      <c r="F741" s="76">
        <v>970391</v>
      </c>
      <c r="G741" s="18">
        <f>100%-((F741-H741)/F741)</f>
        <v>0.015457686643837398</v>
      </c>
      <c r="H741" s="224">
        <v>15000</v>
      </c>
      <c r="I741" s="255">
        <v>3132</v>
      </c>
      <c r="J741" s="9">
        <v>5022</v>
      </c>
      <c r="K741" s="49"/>
      <c r="L741" s="9">
        <v>5022</v>
      </c>
      <c r="M741" s="49"/>
      <c r="N741" s="49"/>
      <c r="O741" s="49"/>
      <c r="P741" s="49"/>
      <c r="Q741" s="49"/>
      <c r="R741" s="49"/>
      <c r="S741" s="49"/>
      <c r="T741" s="49"/>
      <c r="U741" s="49"/>
      <c r="V741" s="49"/>
      <c r="W741" s="49">
        <v>5022</v>
      </c>
      <c r="X741" s="40">
        <f t="shared" si="92"/>
        <v>0</v>
      </c>
    </row>
    <row r="742" spans="2:24" ht="78.75">
      <c r="B742" s="292"/>
      <c r="C742" s="292"/>
      <c r="D742" s="289"/>
      <c r="E742" s="10" t="s">
        <v>594</v>
      </c>
      <c r="F742" s="76">
        <v>699638</v>
      </c>
      <c r="G742" s="18">
        <f>100%-((F742-H742)/F742)</f>
        <v>0.04890191784894471</v>
      </c>
      <c r="H742" s="224">
        <v>34213.64</v>
      </c>
      <c r="I742" s="255">
        <v>3132</v>
      </c>
      <c r="J742" s="9">
        <v>840</v>
      </c>
      <c r="K742" s="49"/>
      <c r="L742" s="9">
        <v>840</v>
      </c>
      <c r="M742" s="49"/>
      <c r="N742" s="49"/>
      <c r="O742" s="49"/>
      <c r="P742" s="49"/>
      <c r="Q742" s="49"/>
      <c r="R742" s="49"/>
      <c r="S742" s="49"/>
      <c r="T742" s="49"/>
      <c r="U742" s="49"/>
      <c r="V742" s="49"/>
      <c r="W742" s="49">
        <v>840</v>
      </c>
      <c r="X742" s="40">
        <f t="shared" si="92"/>
        <v>0</v>
      </c>
    </row>
    <row r="743" spans="2:24" ht="63">
      <c r="B743" s="292"/>
      <c r="C743" s="292"/>
      <c r="D743" s="289"/>
      <c r="E743" s="10" t="s">
        <v>611</v>
      </c>
      <c r="F743" s="76">
        <v>699638</v>
      </c>
      <c r="G743" s="18">
        <f>100%-((F743-H743)/F743)</f>
        <v>0.04890191784894471</v>
      </c>
      <c r="H743" s="224">
        <v>34213.64</v>
      </c>
      <c r="I743" s="255">
        <v>3132</v>
      </c>
      <c r="J743" s="9">
        <f>15000-4500</f>
        <v>10500</v>
      </c>
      <c r="K743" s="49"/>
      <c r="L743" s="49"/>
      <c r="M743" s="49"/>
      <c r="N743" s="49"/>
      <c r="O743" s="49">
        <v>15000</v>
      </c>
      <c r="P743" s="49">
        <v>-4500</v>
      </c>
      <c r="Q743" s="49"/>
      <c r="R743" s="49"/>
      <c r="S743" s="49"/>
      <c r="T743" s="49"/>
      <c r="U743" s="49"/>
      <c r="V743" s="49"/>
      <c r="W743" s="49">
        <v>9779.69</v>
      </c>
      <c r="X743" s="40">
        <f t="shared" si="92"/>
        <v>720.3099999999995</v>
      </c>
    </row>
    <row r="744" spans="2:24" ht="63">
      <c r="B744" s="293"/>
      <c r="C744" s="293"/>
      <c r="D744" s="290"/>
      <c r="E744" s="130" t="s">
        <v>536</v>
      </c>
      <c r="F744" s="66">
        <v>970391</v>
      </c>
      <c r="G744" s="18">
        <f>100%-((F744-H744)/F744)</f>
        <v>0.015457686643837398</v>
      </c>
      <c r="H744" s="218">
        <v>15000</v>
      </c>
      <c r="I744" s="255">
        <v>3132</v>
      </c>
      <c r="J744" s="66">
        <f>15000-14500</f>
        <v>500</v>
      </c>
      <c r="K744" s="49"/>
      <c r="L744" s="49"/>
      <c r="M744" s="49"/>
      <c r="N744" s="49"/>
      <c r="O744" s="49">
        <v>15000</v>
      </c>
      <c r="P744" s="49">
        <v>-14500</v>
      </c>
      <c r="Q744" s="49"/>
      <c r="R744" s="49"/>
      <c r="S744" s="49"/>
      <c r="T744" s="49"/>
      <c r="U744" s="49"/>
      <c r="V744" s="49"/>
      <c r="W744" s="49">
        <v>78.47</v>
      </c>
      <c r="X744" s="40">
        <f t="shared" si="92"/>
        <v>421.53</v>
      </c>
    </row>
    <row r="745" spans="2:24" ht="15.75">
      <c r="B745" s="291" t="s">
        <v>82</v>
      </c>
      <c r="C745" s="291" t="s">
        <v>84</v>
      </c>
      <c r="D745" s="288" t="s">
        <v>86</v>
      </c>
      <c r="E745" s="94"/>
      <c r="F745" s="76"/>
      <c r="G745" s="99"/>
      <c r="H745" s="224"/>
      <c r="I745" s="255"/>
      <c r="J745" s="211">
        <f>SUM(J746:J748)</f>
        <v>110825.45</v>
      </c>
      <c r="K745" s="211">
        <f aca="true" t="shared" si="96" ref="K745:W745">SUM(K746:K748)</f>
        <v>0</v>
      </c>
      <c r="L745" s="211">
        <f t="shared" si="96"/>
        <v>108825.45</v>
      </c>
      <c r="M745" s="211">
        <f t="shared" si="96"/>
        <v>0</v>
      </c>
      <c r="N745" s="211">
        <f t="shared" si="96"/>
        <v>0</v>
      </c>
      <c r="O745" s="211">
        <f t="shared" si="96"/>
        <v>15000</v>
      </c>
      <c r="P745" s="211">
        <f t="shared" si="96"/>
        <v>-13000</v>
      </c>
      <c r="Q745" s="211">
        <f t="shared" si="96"/>
        <v>0</v>
      </c>
      <c r="R745" s="211">
        <f t="shared" si="96"/>
        <v>0</v>
      </c>
      <c r="S745" s="211">
        <f t="shared" si="96"/>
        <v>0</v>
      </c>
      <c r="T745" s="211">
        <f t="shared" si="96"/>
        <v>0</v>
      </c>
      <c r="U745" s="211">
        <f t="shared" si="96"/>
        <v>0</v>
      </c>
      <c r="V745" s="211">
        <f t="shared" si="96"/>
        <v>0</v>
      </c>
      <c r="W745" s="211">
        <f t="shared" si="96"/>
        <v>110289.83</v>
      </c>
      <c r="X745" s="184">
        <f t="shared" si="92"/>
        <v>535.6199999999953</v>
      </c>
    </row>
    <row r="746" spans="2:24" ht="78.75">
      <c r="B746" s="292"/>
      <c r="C746" s="292"/>
      <c r="D746" s="289"/>
      <c r="E746" s="12" t="s">
        <v>434</v>
      </c>
      <c r="F746" s="76">
        <v>998712</v>
      </c>
      <c r="G746" s="18">
        <f>100%-((F746-H746)/F746)</f>
        <v>0.055397501982553554</v>
      </c>
      <c r="H746" s="224">
        <v>55326.15</v>
      </c>
      <c r="I746" s="255">
        <v>3132</v>
      </c>
      <c r="J746" s="9">
        <v>11452.65</v>
      </c>
      <c r="K746" s="49"/>
      <c r="L746" s="9">
        <v>11452.65</v>
      </c>
      <c r="M746" s="49"/>
      <c r="N746" s="49"/>
      <c r="O746" s="49"/>
      <c r="P746" s="49"/>
      <c r="Q746" s="49"/>
      <c r="R746" s="49"/>
      <c r="S746" s="49"/>
      <c r="T746" s="49"/>
      <c r="U746" s="49"/>
      <c r="V746" s="49"/>
      <c r="W746" s="49">
        <v>11452.65</v>
      </c>
      <c r="X746" s="40">
        <f t="shared" si="92"/>
        <v>0</v>
      </c>
    </row>
    <row r="747" spans="2:24" ht="78.75">
      <c r="B747" s="292"/>
      <c r="C747" s="292"/>
      <c r="D747" s="289"/>
      <c r="E747" s="12" t="s">
        <v>595</v>
      </c>
      <c r="F747" s="76">
        <v>587436</v>
      </c>
      <c r="G747" s="18">
        <f>100%-((F747-H747)/F747)</f>
        <v>0.025534696545666202</v>
      </c>
      <c r="H747" s="224">
        <v>15000</v>
      </c>
      <c r="I747" s="255">
        <v>3132</v>
      </c>
      <c r="J747" s="9">
        <v>97372.8</v>
      </c>
      <c r="K747" s="49"/>
      <c r="L747" s="9">
        <v>97372.8</v>
      </c>
      <c r="M747" s="49"/>
      <c r="N747" s="49"/>
      <c r="O747" s="49"/>
      <c r="P747" s="49"/>
      <c r="Q747" s="49"/>
      <c r="R747" s="49"/>
      <c r="S747" s="49"/>
      <c r="T747" s="49"/>
      <c r="U747" s="49"/>
      <c r="V747" s="49"/>
      <c r="W747" s="49">
        <v>97372.8</v>
      </c>
      <c r="X747" s="40">
        <f t="shared" si="92"/>
        <v>0</v>
      </c>
    </row>
    <row r="748" spans="2:24" ht="63">
      <c r="B748" s="293"/>
      <c r="C748" s="293"/>
      <c r="D748" s="290"/>
      <c r="E748" s="130" t="s">
        <v>740</v>
      </c>
      <c r="F748" s="66">
        <v>587436</v>
      </c>
      <c r="G748" s="18">
        <f>100%-((F748-H748)/F748)</f>
        <v>0.025534696545666202</v>
      </c>
      <c r="H748" s="218">
        <v>15000</v>
      </c>
      <c r="I748" s="255">
        <v>3132</v>
      </c>
      <c r="J748" s="66">
        <f>15000-13000</f>
        <v>2000</v>
      </c>
      <c r="K748" s="49"/>
      <c r="L748" s="49"/>
      <c r="M748" s="49"/>
      <c r="N748" s="49"/>
      <c r="O748" s="49">
        <v>15000</v>
      </c>
      <c r="P748" s="49">
        <v>-13000</v>
      </c>
      <c r="Q748" s="49"/>
      <c r="R748" s="49"/>
      <c r="S748" s="49"/>
      <c r="T748" s="49"/>
      <c r="U748" s="49"/>
      <c r="V748" s="49"/>
      <c r="W748" s="49">
        <v>1464.38</v>
      </c>
      <c r="X748" s="40">
        <f t="shared" si="92"/>
        <v>535.6199999999999</v>
      </c>
    </row>
    <row r="749" spans="2:24" ht="15.75">
      <c r="B749" s="291" t="s">
        <v>296</v>
      </c>
      <c r="C749" s="291" t="s">
        <v>297</v>
      </c>
      <c r="D749" s="288" t="s">
        <v>88</v>
      </c>
      <c r="E749" s="94"/>
      <c r="F749" s="76"/>
      <c r="G749" s="99"/>
      <c r="H749" s="224"/>
      <c r="I749" s="255"/>
      <c r="J749" s="211">
        <f>SUM(J750:J800)</f>
        <v>9334573.84</v>
      </c>
      <c r="K749" s="211">
        <f aca="true" t="shared" si="97" ref="K749:W749">SUM(K750:K800)</f>
        <v>0</v>
      </c>
      <c r="L749" s="211">
        <f t="shared" si="97"/>
        <v>2384258.84</v>
      </c>
      <c r="M749" s="211">
        <f t="shared" si="97"/>
        <v>0</v>
      </c>
      <c r="N749" s="211">
        <f t="shared" si="97"/>
        <v>0</v>
      </c>
      <c r="O749" s="211">
        <f t="shared" si="97"/>
        <v>1267765</v>
      </c>
      <c r="P749" s="211">
        <f t="shared" si="97"/>
        <v>2326500</v>
      </c>
      <c r="Q749" s="211">
        <f t="shared" si="97"/>
        <v>1554000</v>
      </c>
      <c r="R749" s="211">
        <f t="shared" si="97"/>
        <v>1280000</v>
      </c>
      <c r="S749" s="211">
        <f t="shared" si="97"/>
        <v>786000</v>
      </c>
      <c r="T749" s="211">
        <f t="shared" si="97"/>
        <v>100000</v>
      </c>
      <c r="U749" s="211">
        <f t="shared" si="97"/>
        <v>-463950</v>
      </c>
      <c r="V749" s="211">
        <f t="shared" si="97"/>
        <v>100000</v>
      </c>
      <c r="W749" s="211">
        <f t="shared" si="97"/>
        <v>7942703.899999999</v>
      </c>
      <c r="X749" s="184">
        <f t="shared" si="92"/>
        <v>1391869.9400000004</v>
      </c>
    </row>
    <row r="750" spans="2:24" ht="78.75">
      <c r="B750" s="292"/>
      <c r="C750" s="292"/>
      <c r="D750" s="289"/>
      <c r="E750" s="19" t="s">
        <v>967</v>
      </c>
      <c r="F750" s="76">
        <v>652288</v>
      </c>
      <c r="G750" s="18">
        <f>100%-((F750-H750)/F750)</f>
        <v>0.58687849538854</v>
      </c>
      <c r="H750" s="224">
        <v>382813.8</v>
      </c>
      <c r="I750" s="255">
        <v>3142</v>
      </c>
      <c r="J750" s="9">
        <v>171</v>
      </c>
      <c r="K750" s="49"/>
      <c r="L750" s="9">
        <v>171</v>
      </c>
      <c r="M750" s="49"/>
      <c r="N750" s="49"/>
      <c r="O750" s="49"/>
      <c r="P750" s="49"/>
      <c r="Q750" s="49"/>
      <c r="R750" s="49"/>
      <c r="S750" s="49"/>
      <c r="T750" s="49"/>
      <c r="U750" s="49"/>
      <c r="V750" s="49"/>
      <c r="W750" s="49">
        <v>171</v>
      </c>
      <c r="X750" s="40">
        <f t="shared" si="92"/>
        <v>0</v>
      </c>
    </row>
    <row r="751" spans="2:24" ht="47.25">
      <c r="B751" s="292"/>
      <c r="C751" s="292"/>
      <c r="D751" s="289"/>
      <c r="E751" s="28" t="s">
        <v>471</v>
      </c>
      <c r="F751" s="32">
        <v>113744</v>
      </c>
      <c r="G751" s="18">
        <f>100%-((F751-H751)/F751)</f>
        <v>0.9613166408777606</v>
      </c>
      <c r="H751" s="242">
        <v>109344</v>
      </c>
      <c r="I751" s="259">
        <v>3142</v>
      </c>
      <c r="J751" s="9">
        <v>4400</v>
      </c>
      <c r="K751" s="49"/>
      <c r="L751" s="9">
        <v>4400</v>
      </c>
      <c r="M751" s="49"/>
      <c r="N751" s="49"/>
      <c r="O751" s="49"/>
      <c r="P751" s="49"/>
      <c r="Q751" s="49"/>
      <c r="R751" s="49"/>
      <c r="S751" s="49"/>
      <c r="T751" s="49"/>
      <c r="U751" s="49"/>
      <c r="V751" s="49"/>
      <c r="W751" s="49">
        <v>4400</v>
      </c>
      <c r="X751" s="40">
        <f t="shared" si="92"/>
        <v>0</v>
      </c>
    </row>
    <row r="752" spans="2:24" ht="63">
      <c r="B752" s="292"/>
      <c r="C752" s="292"/>
      <c r="D752" s="289"/>
      <c r="E752" s="10" t="s">
        <v>339</v>
      </c>
      <c r="F752" s="32">
        <v>307171</v>
      </c>
      <c r="G752" s="18">
        <f aca="true" t="shared" si="98" ref="G752:G848">100%-((F752-H752)/F752)</f>
        <v>0.47000999443306823</v>
      </c>
      <c r="H752" s="242">
        <v>144373.44</v>
      </c>
      <c r="I752" s="259">
        <v>3142</v>
      </c>
      <c r="J752" s="9">
        <v>58027.76</v>
      </c>
      <c r="K752" s="49"/>
      <c r="L752" s="9">
        <v>58027.76</v>
      </c>
      <c r="M752" s="49"/>
      <c r="N752" s="49"/>
      <c r="O752" s="49"/>
      <c r="P752" s="49"/>
      <c r="Q752" s="49"/>
      <c r="R752" s="49"/>
      <c r="S752" s="49"/>
      <c r="T752" s="49"/>
      <c r="U752" s="49"/>
      <c r="V752" s="49"/>
      <c r="W752" s="49">
        <v>58027.76</v>
      </c>
      <c r="X752" s="40">
        <f t="shared" si="92"/>
        <v>0</v>
      </c>
    </row>
    <row r="753" spans="2:24" ht="63">
      <c r="B753" s="292"/>
      <c r="C753" s="292"/>
      <c r="D753" s="289"/>
      <c r="E753" s="12" t="s">
        <v>340</v>
      </c>
      <c r="F753" s="32">
        <v>8189053</v>
      </c>
      <c r="G753" s="18">
        <f t="shared" si="98"/>
        <v>0.9638432734529866</v>
      </c>
      <c r="H753" s="242">
        <v>7892963.65</v>
      </c>
      <c r="I753" s="255">
        <v>3142</v>
      </c>
      <c r="J753" s="9">
        <v>62597.5</v>
      </c>
      <c r="K753" s="49"/>
      <c r="L753" s="9">
        <v>62597.5</v>
      </c>
      <c r="M753" s="49"/>
      <c r="N753" s="49"/>
      <c r="O753" s="49"/>
      <c r="P753" s="49"/>
      <c r="Q753" s="49"/>
      <c r="R753" s="49"/>
      <c r="S753" s="49"/>
      <c r="T753" s="49"/>
      <c r="U753" s="49"/>
      <c r="V753" s="49"/>
      <c r="W753" s="49">
        <v>62597.5</v>
      </c>
      <c r="X753" s="40">
        <f t="shared" si="92"/>
        <v>0</v>
      </c>
    </row>
    <row r="754" spans="2:24" ht="110.25">
      <c r="B754" s="292"/>
      <c r="C754" s="292"/>
      <c r="D754" s="289"/>
      <c r="E754" s="33" t="s">
        <v>456</v>
      </c>
      <c r="F754" s="32">
        <v>661469</v>
      </c>
      <c r="G754" s="18">
        <f t="shared" si="98"/>
        <v>0.6417878993573395</v>
      </c>
      <c r="H754" s="242">
        <v>424522.8</v>
      </c>
      <c r="I754" s="259">
        <v>3142</v>
      </c>
      <c r="J754" s="9">
        <v>424522.8</v>
      </c>
      <c r="K754" s="49"/>
      <c r="L754" s="9">
        <v>424522.8</v>
      </c>
      <c r="M754" s="49"/>
      <c r="N754" s="49"/>
      <c r="O754" s="49"/>
      <c r="P754" s="49"/>
      <c r="Q754" s="49"/>
      <c r="R754" s="49"/>
      <c r="S754" s="49"/>
      <c r="T754" s="49"/>
      <c r="U754" s="49"/>
      <c r="V754" s="49"/>
      <c r="W754" s="49">
        <v>424522.8</v>
      </c>
      <c r="X754" s="40">
        <f t="shared" si="92"/>
        <v>0</v>
      </c>
    </row>
    <row r="755" spans="2:24" ht="63">
      <c r="B755" s="292"/>
      <c r="C755" s="292"/>
      <c r="D755" s="289"/>
      <c r="E755" s="10" t="s">
        <v>578</v>
      </c>
      <c r="F755" s="32">
        <v>317569</v>
      </c>
      <c r="G755" s="18">
        <f t="shared" si="98"/>
        <v>0.9823156542357724</v>
      </c>
      <c r="H755" s="242">
        <v>311953</v>
      </c>
      <c r="I755" s="259">
        <v>3142</v>
      </c>
      <c r="J755" s="9">
        <v>5616</v>
      </c>
      <c r="K755" s="49"/>
      <c r="L755" s="9">
        <v>5616</v>
      </c>
      <c r="M755" s="49"/>
      <c r="N755" s="49"/>
      <c r="O755" s="49"/>
      <c r="P755" s="49"/>
      <c r="Q755" s="49"/>
      <c r="R755" s="49"/>
      <c r="S755" s="49"/>
      <c r="T755" s="49"/>
      <c r="U755" s="49"/>
      <c r="V755" s="49"/>
      <c r="W755" s="49">
        <v>5616</v>
      </c>
      <c r="X755" s="40">
        <f t="shared" si="92"/>
        <v>0</v>
      </c>
    </row>
    <row r="756" spans="2:24" ht="63">
      <c r="B756" s="292"/>
      <c r="C756" s="292"/>
      <c r="D756" s="289"/>
      <c r="E756" s="12" t="s">
        <v>579</v>
      </c>
      <c r="F756" s="32">
        <v>387913</v>
      </c>
      <c r="G756" s="18">
        <f t="shared" si="98"/>
        <v>0.9625147906876026</v>
      </c>
      <c r="H756" s="242">
        <v>373372</v>
      </c>
      <c r="I756" s="255">
        <v>3142</v>
      </c>
      <c r="J756" s="9">
        <v>14541</v>
      </c>
      <c r="K756" s="49"/>
      <c r="L756" s="9">
        <v>14541</v>
      </c>
      <c r="M756" s="49"/>
      <c r="N756" s="49"/>
      <c r="O756" s="49"/>
      <c r="P756" s="49"/>
      <c r="Q756" s="49"/>
      <c r="R756" s="49"/>
      <c r="S756" s="49"/>
      <c r="T756" s="49"/>
      <c r="U756" s="49"/>
      <c r="V756" s="49"/>
      <c r="W756" s="49">
        <v>14541</v>
      </c>
      <c r="X756" s="40">
        <f t="shared" si="92"/>
        <v>0</v>
      </c>
    </row>
    <row r="757" spans="2:24" ht="78.75">
      <c r="B757" s="292"/>
      <c r="C757" s="292"/>
      <c r="D757" s="289"/>
      <c r="E757" s="10" t="s">
        <v>580</v>
      </c>
      <c r="F757" s="32">
        <v>232210</v>
      </c>
      <c r="G757" s="18">
        <f t="shared" si="98"/>
        <v>0.43898884630291546</v>
      </c>
      <c r="H757" s="242">
        <v>101937.6</v>
      </c>
      <c r="I757" s="259">
        <v>3142</v>
      </c>
      <c r="J757" s="9">
        <v>101937.6</v>
      </c>
      <c r="K757" s="49"/>
      <c r="L757" s="9">
        <v>101937.6</v>
      </c>
      <c r="M757" s="49"/>
      <c r="N757" s="49"/>
      <c r="O757" s="49"/>
      <c r="P757" s="49"/>
      <c r="Q757" s="49"/>
      <c r="R757" s="49"/>
      <c r="S757" s="49"/>
      <c r="T757" s="49"/>
      <c r="U757" s="49"/>
      <c r="V757" s="49"/>
      <c r="W757" s="49">
        <v>101937.6</v>
      </c>
      <c r="X757" s="40">
        <f t="shared" si="92"/>
        <v>0</v>
      </c>
    </row>
    <row r="758" spans="2:24" ht="78.75">
      <c r="B758" s="292"/>
      <c r="C758" s="292"/>
      <c r="D758" s="289"/>
      <c r="E758" s="12" t="s">
        <v>596</v>
      </c>
      <c r="F758" s="32">
        <v>652288</v>
      </c>
      <c r="G758" s="18">
        <f t="shared" si="98"/>
        <v>0.586878618033752</v>
      </c>
      <c r="H758" s="242">
        <v>382813.88</v>
      </c>
      <c r="I758" s="259">
        <v>3142</v>
      </c>
      <c r="J758" s="9">
        <v>125059.24</v>
      </c>
      <c r="K758" s="49"/>
      <c r="L758" s="9">
        <v>125059.24</v>
      </c>
      <c r="M758" s="49"/>
      <c r="N758" s="49"/>
      <c r="O758" s="49"/>
      <c r="P758" s="49"/>
      <c r="Q758" s="49"/>
      <c r="R758" s="49"/>
      <c r="S758" s="49"/>
      <c r="T758" s="49"/>
      <c r="U758" s="49"/>
      <c r="V758" s="49"/>
      <c r="W758" s="49">
        <v>125059.24</v>
      </c>
      <c r="X758" s="40">
        <f t="shared" si="92"/>
        <v>0</v>
      </c>
    </row>
    <row r="759" spans="2:24" ht="78.75">
      <c r="B759" s="292"/>
      <c r="C759" s="292"/>
      <c r="D759" s="289"/>
      <c r="E759" s="12" t="s">
        <v>581</v>
      </c>
      <c r="F759" s="32">
        <v>1012912</v>
      </c>
      <c r="G759" s="18">
        <f t="shared" si="98"/>
        <v>0.5775623647463946</v>
      </c>
      <c r="H759" s="242">
        <v>585019.85</v>
      </c>
      <c r="I759" s="255">
        <v>3122</v>
      </c>
      <c r="J759" s="9">
        <v>585019.85</v>
      </c>
      <c r="K759" s="49"/>
      <c r="L759" s="9">
        <v>585019.85</v>
      </c>
      <c r="M759" s="49"/>
      <c r="N759" s="49"/>
      <c r="O759" s="49"/>
      <c r="P759" s="49"/>
      <c r="Q759" s="49"/>
      <c r="R759" s="49"/>
      <c r="S759" s="49"/>
      <c r="T759" s="49"/>
      <c r="U759" s="49"/>
      <c r="V759" s="49"/>
      <c r="W759" s="49">
        <v>585019.85</v>
      </c>
      <c r="X759" s="40">
        <f t="shared" si="92"/>
        <v>0</v>
      </c>
    </row>
    <row r="760" spans="2:24" ht="78.75">
      <c r="B760" s="292"/>
      <c r="C760" s="292"/>
      <c r="D760" s="289"/>
      <c r="E760" s="34" t="s">
        <v>63</v>
      </c>
      <c r="F760" s="32">
        <v>64529</v>
      </c>
      <c r="G760" s="18">
        <f t="shared" si="98"/>
        <v>0.8451229679678904</v>
      </c>
      <c r="H760" s="242">
        <v>54534.94</v>
      </c>
      <c r="I760" s="259">
        <v>3142</v>
      </c>
      <c r="J760" s="9">
        <v>9994.06</v>
      </c>
      <c r="K760" s="49"/>
      <c r="L760" s="9">
        <v>9994.06</v>
      </c>
      <c r="M760" s="49"/>
      <c r="N760" s="49"/>
      <c r="O760" s="49"/>
      <c r="P760" s="49"/>
      <c r="Q760" s="49"/>
      <c r="R760" s="49"/>
      <c r="S760" s="49"/>
      <c r="T760" s="49"/>
      <c r="U760" s="49"/>
      <c r="V760" s="49"/>
      <c r="W760" s="49">
        <v>9994.06</v>
      </c>
      <c r="X760" s="40">
        <f t="shared" si="92"/>
        <v>0</v>
      </c>
    </row>
    <row r="761" spans="2:24" ht="63">
      <c r="B761" s="292"/>
      <c r="C761" s="292"/>
      <c r="D761" s="289"/>
      <c r="E761" s="33" t="s">
        <v>552</v>
      </c>
      <c r="F761" s="32">
        <v>68416</v>
      </c>
      <c r="G761" s="18">
        <f t="shared" si="98"/>
        <v>0.06699470884003744</v>
      </c>
      <c r="H761" s="242">
        <v>4583.51</v>
      </c>
      <c r="I761" s="259">
        <v>3122</v>
      </c>
      <c r="J761" s="9">
        <v>802</v>
      </c>
      <c r="K761" s="49"/>
      <c r="L761" s="9">
        <v>802</v>
      </c>
      <c r="M761" s="49"/>
      <c r="N761" s="49"/>
      <c r="O761" s="49"/>
      <c r="P761" s="49"/>
      <c r="Q761" s="49"/>
      <c r="R761" s="49"/>
      <c r="S761" s="49"/>
      <c r="T761" s="49"/>
      <c r="U761" s="49"/>
      <c r="V761" s="49"/>
      <c r="W761" s="49">
        <v>802</v>
      </c>
      <c r="X761" s="40">
        <f t="shared" si="92"/>
        <v>0</v>
      </c>
    </row>
    <row r="762" spans="2:24" ht="63">
      <c r="B762" s="292"/>
      <c r="C762" s="292"/>
      <c r="D762" s="289"/>
      <c r="E762" s="33" t="s">
        <v>553</v>
      </c>
      <c r="F762" s="32">
        <v>97504</v>
      </c>
      <c r="G762" s="18">
        <f t="shared" si="98"/>
        <v>0.543865379881851</v>
      </c>
      <c r="H762" s="242">
        <v>53029.05</v>
      </c>
      <c r="I762" s="255">
        <v>3142</v>
      </c>
      <c r="J762" s="9">
        <v>15280.66</v>
      </c>
      <c r="K762" s="49"/>
      <c r="L762" s="9">
        <v>15280.66</v>
      </c>
      <c r="M762" s="49"/>
      <c r="N762" s="49"/>
      <c r="O762" s="49"/>
      <c r="P762" s="49"/>
      <c r="Q762" s="49"/>
      <c r="R762" s="49"/>
      <c r="S762" s="49"/>
      <c r="T762" s="49"/>
      <c r="U762" s="49"/>
      <c r="V762" s="49"/>
      <c r="W762" s="49">
        <v>15280.66</v>
      </c>
      <c r="X762" s="40">
        <f t="shared" si="92"/>
        <v>0</v>
      </c>
    </row>
    <row r="763" spans="2:24" ht="63">
      <c r="B763" s="292"/>
      <c r="C763" s="292"/>
      <c r="D763" s="289"/>
      <c r="E763" s="33" t="s">
        <v>496</v>
      </c>
      <c r="F763" s="32">
        <v>156612</v>
      </c>
      <c r="G763" s="18">
        <f t="shared" si="98"/>
        <v>0.472631215998774</v>
      </c>
      <c r="H763" s="242">
        <v>74019.72</v>
      </c>
      <c r="I763" s="259">
        <v>3142</v>
      </c>
      <c r="J763" s="9">
        <v>32696.11</v>
      </c>
      <c r="K763" s="49"/>
      <c r="L763" s="9">
        <v>32696.11</v>
      </c>
      <c r="M763" s="49"/>
      <c r="N763" s="49"/>
      <c r="O763" s="49"/>
      <c r="P763" s="49"/>
      <c r="Q763" s="49"/>
      <c r="R763" s="49"/>
      <c r="S763" s="49"/>
      <c r="T763" s="49"/>
      <c r="U763" s="49"/>
      <c r="V763" s="49"/>
      <c r="W763" s="49">
        <v>32696.11</v>
      </c>
      <c r="X763" s="40">
        <f t="shared" si="92"/>
        <v>0</v>
      </c>
    </row>
    <row r="764" spans="2:24" ht="47.25">
      <c r="B764" s="292"/>
      <c r="C764" s="292"/>
      <c r="D764" s="289"/>
      <c r="E764" s="33" t="s">
        <v>497</v>
      </c>
      <c r="F764" s="32">
        <v>8707339</v>
      </c>
      <c r="G764" s="18">
        <f t="shared" si="98"/>
        <v>0.27611726154224614</v>
      </c>
      <c r="H764" s="242">
        <v>2404246.6</v>
      </c>
      <c r="I764" s="259">
        <v>3142</v>
      </c>
      <c r="J764" s="9">
        <v>701896.79</v>
      </c>
      <c r="K764" s="49"/>
      <c r="L764" s="9">
        <v>701896.79</v>
      </c>
      <c r="M764" s="49"/>
      <c r="N764" s="49"/>
      <c r="O764" s="49"/>
      <c r="P764" s="49"/>
      <c r="Q764" s="49"/>
      <c r="R764" s="49"/>
      <c r="S764" s="49"/>
      <c r="T764" s="49"/>
      <c r="U764" s="49"/>
      <c r="V764" s="49"/>
      <c r="W764" s="49">
        <v>701896.79</v>
      </c>
      <c r="X764" s="40">
        <f t="shared" si="92"/>
        <v>0</v>
      </c>
    </row>
    <row r="765" spans="2:24" ht="63">
      <c r="B765" s="292"/>
      <c r="C765" s="292"/>
      <c r="D765" s="289"/>
      <c r="E765" s="33" t="s">
        <v>413</v>
      </c>
      <c r="F765" s="32">
        <v>1227000</v>
      </c>
      <c r="G765" s="18">
        <f t="shared" si="98"/>
        <v>0.5783911980440097</v>
      </c>
      <c r="H765" s="242">
        <v>709686</v>
      </c>
      <c r="I765" s="255">
        <v>3142</v>
      </c>
      <c r="J765" s="9">
        <v>221474.42</v>
      </c>
      <c r="K765" s="49"/>
      <c r="L765" s="9">
        <v>221474.42</v>
      </c>
      <c r="M765" s="49"/>
      <c r="N765" s="49"/>
      <c r="O765" s="49"/>
      <c r="P765" s="49"/>
      <c r="Q765" s="49"/>
      <c r="R765" s="49"/>
      <c r="S765" s="49"/>
      <c r="T765" s="49"/>
      <c r="U765" s="49"/>
      <c r="V765" s="49"/>
      <c r="W765" s="49">
        <v>221474.42</v>
      </c>
      <c r="X765" s="40">
        <f t="shared" si="92"/>
        <v>0</v>
      </c>
    </row>
    <row r="766" spans="2:24" ht="47.25">
      <c r="B766" s="292"/>
      <c r="C766" s="292"/>
      <c r="D766" s="289"/>
      <c r="E766" s="33" t="s">
        <v>414</v>
      </c>
      <c r="F766" s="32">
        <v>81916</v>
      </c>
      <c r="G766" s="18">
        <f t="shared" si="98"/>
        <v>0.2755743688656672</v>
      </c>
      <c r="H766" s="242">
        <v>22573.95</v>
      </c>
      <c r="I766" s="259">
        <v>3142</v>
      </c>
      <c r="J766" s="9">
        <v>3222.05</v>
      </c>
      <c r="K766" s="49"/>
      <c r="L766" s="9">
        <v>3222.05</v>
      </c>
      <c r="M766" s="49"/>
      <c r="N766" s="49"/>
      <c r="O766" s="49"/>
      <c r="P766" s="49"/>
      <c r="Q766" s="49"/>
      <c r="R766" s="49"/>
      <c r="S766" s="49"/>
      <c r="T766" s="49"/>
      <c r="U766" s="49"/>
      <c r="V766" s="49"/>
      <c r="W766" s="49">
        <v>3222.05</v>
      </c>
      <c r="X766" s="40">
        <f t="shared" si="92"/>
        <v>0</v>
      </c>
    </row>
    <row r="767" spans="2:24" ht="78.75">
      <c r="B767" s="292"/>
      <c r="C767" s="292"/>
      <c r="D767" s="289"/>
      <c r="E767" s="33" t="s">
        <v>375</v>
      </c>
      <c r="F767" s="32">
        <v>512000</v>
      </c>
      <c r="G767" s="18">
        <f t="shared" si="98"/>
        <v>0.966796875</v>
      </c>
      <c r="H767" s="242">
        <v>495000</v>
      </c>
      <c r="I767" s="259">
        <v>3142</v>
      </c>
      <c r="J767" s="9">
        <v>17000</v>
      </c>
      <c r="K767" s="49"/>
      <c r="L767" s="9">
        <v>17000</v>
      </c>
      <c r="M767" s="49"/>
      <c r="N767" s="49"/>
      <c r="O767" s="49"/>
      <c r="P767" s="49"/>
      <c r="Q767" s="49"/>
      <c r="R767" s="49"/>
      <c r="S767" s="49"/>
      <c r="T767" s="49"/>
      <c r="U767" s="49"/>
      <c r="V767" s="49"/>
      <c r="W767" s="49">
        <v>17000</v>
      </c>
      <c r="X767" s="40">
        <f t="shared" si="92"/>
        <v>0</v>
      </c>
    </row>
    <row r="768" spans="2:24" ht="31.5">
      <c r="B768" s="292"/>
      <c r="C768" s="292"/>
      <c r="D768" s="289"/>
      <c r="E768" s="33" t="s">
        <v>741</v>
      </c>
      <c r="F768" s="32"/>
      <c r="G768" s="18"/>
      <c r="H768" s="242"/>
      <c r="I768" s="255">
        <v>3142</v>
      </c>
      <c r="J768" s="9">
        <f>388000-70000</f>
        <v>318000</v>
      </c>
      <c r="K768" s="49"/>
      <c r="L768" s="49"/>
      <c r="M768" s="49"/>
      <c r="N768" s="49"/>
      <c r="O768" s="49"/>
      <c r="P768" s="49">
        <v>194000</v>
      </c>
      <c r="Q768" s="49">
        <v>194000</v>
      </c>
      <c r="R768" s="49"/>
      <c r="S768" s="49"/>
      <c r="T768" s="49"/>
      <c r="U768" s="49">
        <v>-70000</v>
      </c>
      <c r="V768" s="49"/>
      <c r="W768" s="49">
        <f>154634+152146+5634.98+1107.6</f>
        <v>313522.57999999996</v>
      </c>
      <c r="X768" s="40">
        <f t="shared" si="92"/>
        <v>4477.420000000042</v>
      </c>
    </row>
    <row r="769" spans="2:24" ht="31.5">
      <c r="B769" s="292"/>
      <c r="C769" s="292"/>
      <c r="D769" s="289"/>
      <c r="E769" s="33" t="s">
        <v>796</v>
      </c>
      <c r="F769" s="32"/>
      <c r="G769" s="18"/>
      <c r="H769" s="242"/>
      <c r="I769" s="259">
        <v>3142</v>
      </c>
      <c r="J769" s="9">
        <f>318000+100000</f>
        <v>418000</v>
      </c>
      <c r="K769" s="49"/>
      <c r="L769" s="49"/>
      <c r="M769" s="49"/>
      <c r="N769" s="49"/>
      <c r="O769" s="49">
        <v>159000</v>
      </c>
      <c r="P769" s="49">
        <v>159000</v>
      </c>
      <c r="Q769" s="49"/>
      <c r="R769" s="49"/>
      <c r="S769" s="49"/>
      <c r="T769" s="49"/>
      <c r="U769" s="49"/>
      <c r="V769" s="49">
        <v>100000</v>
      </c>
      <c r="W769" s="49">
        <f>152267.4+1073.54+111690.6+34392+1107.6+4545</f>
        <v>305076.14</v>
      </c>
      <c r="X769" s="40">
        <f t="shared" si="92"/>
        <v>112923.85999999999</v>
      </c>
    </row>
    <row r="770" spans="2:24" ht="47.25">
      <c r="B770" s="292"/>
      <c r="C770" s="292"/>
      <c r="D770" s="289"/>
      <c r="E770" s="33" t="s">
        <v>797</v>
      </c>
      <c r="F770" s="32"/>
      <c r="G770" s="18"/>
      <c r="H770" s="242"/>
      <c r="I770" s="259">
        <v>3142</v>
      </c>
      <c r="J770" s="9">
        <f>338000-14000</f>
        <v>324000</v>
      </c>
      <c r="K770" s="49"/>
      <c r="L770" s="49"/>
      <c r="M770" s="49"/>
      <c r="N770" s="49"/>
      <c r="O770" s="49">
        <v>10000</v>
      </c>
      <c r="P770" s="49">
        <v>100000</v>
      </c>
      <c r="Q770" s="49">
        <v>100000</v>
      </c>
      <c r="R770" s="49">
        <v>128000</v>
      </c>
      <c r="S770" s="49">
        <v>-14000</v>
      </c>
      <c r="T770" s="49"/>
      <c r="U770" s="49"/>
      <c r="V770" s="49"/>
      <c r="W770" s="49">
        <f>9823.15+153567.6+66+2408.87+1107.6+104189.43</f>
        <v>271162.65</v>
      </c>
      <c r="X770" s="40">
        <f t="shared" si="92"/>
        <v>52837.34999999998</v>
      </c>
    </row>
    <row r="771" spans="2:24" ht="31.5">
      <c r="B771" s="292"/>
      <c r="C771" s="292"/>
      <c r="D771" s="289"/>
      <c r="E771" s="33" t="s">
        <v>798</v>
      </c>
      <c r="F771" s="32"/>
      <c r="G771" s="18"/>
      <c r="H771" s="242"/>
      <c r="I771" s="255">
        <v>3142</v>
      </c>
      <c r="J771" s="9">
        <f>412000-20000</f>
        <v>392000</v>
      </c>
      <c r="K771" s="49"/>
      <c r="L771" s="49"/>
      <c r="M771" s="49"/>
      <c r="N771" s="49"/>
      <c r="O771" s="49">
        <v>10000</v>
      </c>
      <c r="P771" s="49">
        <v>100000</v>
      </c>
      <c r="Q771" s="49">
        <v>100000</v>
      </c>
      <c r="R771" s="49">
        <v>100000</v>
      </c>
      <c r="S771" s="49">
        <f>102000-20000</f>
        <v>82000</v>
      </c>
      <c r="T771" s="49"/>
      <c r="U771" s="49"/>
      <c r="V771" s="49"/>
      <c r="W771" s="49">
        <f>9823.15+180573.6+43635.6+3581.11+1107.6+45389.4</f>
        <v>284110.46</v>
      </c>
      <c r="X771" s="40">
        <f t="shared" si="92"/>
        <v>107889.53999999998</v>
      </c>
    </row>
    <row r="772" spans="2:24" ht="31.5">
      <c r="B772" s="292"/>
      <c r="C772" s="292"/>
      <c r="D772" s="289"/>
      <c r="E772" s="33" t="s">
        <v>799</v>
      </c>
      <c r="F772" s="32"/>
      <c r="G772" s="18"/>
      <c r="H772" s="242"/>
      <c r="I772" s="259">
        <v>3142</v>
      </c>
      <c r="J772" s="9">
        <f>125000+15000</f>
        <v>140000</v>
      </c>
      <c r="K772" s="49"/>
      <c r="L772" s="49"/>
      <c r="M772" s="49"/>
      <c r="N772" s="49"/>
      <c r="O772" s="49">
        <v>125000</v>
      </c>
      <c r="P772" s="49"/>
      <c r="Q772" s="49">
        <v>15000</v>
      </c>
      <c r="R772" s="49"/>
      <c r="S772" s="49"/>
      <c r="T772" s="49"/>
      <c r="U772" s="49"/>
      <c r="V772" s="49"/>
      <c r="W772" s="49">
        <f>2142+990+66772.1+16575+50197.1+2128.71+738.4</f>
        <v>139543.31</v>
      </c>
      <c r="X772" s="40">
        <f t="shared" si="92"/>
        <v>456.6900000000023</v>
      </c>
    </row>
    <row r="773" spans="2:24" ht="47.25">
      <c r="B773" s="292"/>
      <c r="C773" s="292"/>
      <c r="D773" s="289"/>
      <c r="E773" s="33" t="s">
        <v>800</v>
      </c>
      <c r="F773" s="32"/>
      <c r="G773" s="18"/>
      <c r="H773" s="242"/>
      <c r="I773" s="259">
        <v>3142</v>
      </c>
      <c r="J773" s="9">
        <f>41000+3000</f>
        <v>44000</v>
      </c>
      <c r="K773" s="49"/>
      <c r="L773" s="49"/>
      <c r="M773" s="49"/>
      <c r="N773" s="49"/>
      <c r="O773" s="49">
        <v>41000</v>
      </c>
      <c r="P773" s="49">
        <v>3000</v>
      </c>
      <c r="Q773" s="49"/>
      <c r="R773" s="49"/>
      <c r="S773" s="49"/>
      <c r="T773" s="49"/>
      <c r="U773" s="49"/>
      <c r="V773" s="49"/>
      <c r="W773" s="49">
        <f>41784+738.4</f>
        <v>42522.4</v>
      </c>
      <c r="X773" s="40">
        <f t="shared" si="92"/>
        <v>1477.5999999999985</v>
      </c>
    </row>
    <row r="774" spans="2:24" ht="47.25">
      <c r="B774" s="292"/>
      <c r="C774" s="292"/>
      <c r="D774" s="289"/>
      <c r="E774" s="33" t="s">
        <v>889</v>
      </c>
      <c r="F774" s="32"/>
      <c r="G774" s="18"/>
      <c r="H774" s="242"/>
      <c r="I774" s="259">
        <v>3142</v>
      </c>
      <c r="J774" s="9">
        <f>200000+205000</f>
        <v>405000</v>
      </c>
      <c r="K774" s="49"/>
      <c r="L774" s="49"/>
      <c r="M774" s="49"/>
      <c r="N774" s="49"/>
      <c r="O774" s="49"/>
      <c r="P774" s="49">
        <v>10000</v>
      </c>
      <c r="Q774" s="49">
        <v>95000</v>
      </c>
      <c r="R774" s="49">
        <v>95000</v>
      </c>
      <c r="S774" s="49">
        <v>205000</v>
      </c>
      <c r="T774" s="49"/>
      <c r="U774" s="49"/>
      <c r="V774" s="49"/>
      <c r="W774" s="49">
        <f>12891+90781+137521+2457.22+98459+3355.53+56267.25+1065</f>
        <v>402797</v>
      </c>
      <c r="X774" s="40">
        <f t="shared" si="92"/>
        <v>2203</v>
      </c>
    </row>
    <row r="775" spans="2:24" ht="47.25">
      <c r="B775" s="292"/>
      <c r="C775" s="292"/>
      <c r="D775" s="289"/>
      <c r="E775" s="33" t="s">
        <v>161</v>
      </c>
      <c r="F775" s="32"/>
      <c r="G775" s="18"/>
      <c r="H775" s="242"/>
      <c r="I775" s="259">
        <v>3210</v>
      </c>
      <c r="J775" s="9">
        <v>200000</v>
      </c>
      <c r="K775" s="49"/>
      <c r="L775" s="49"/>
      <c r="M775" s="49"/>
      <c r="N775" s="49"/>
      <c r="O775" s="49"/>
      <c r="P775" s="49">
        <v>60000</v>
      </c>
      <c r="Q775" s="49">
        <v>60000</v>
      </c>
      <c r="R775" s="49">
        <v>80000</v>
      </c>
      <c r="S775" s="49"/>
      <c r="T775" s="49"/>
      <c r="U775" s="49"/>
      <c r="V775" s="49"/>
      <c r="W775" s="49">
        <f>26222.94+75626.05+31121.3</f>
        <v>132970.29</v>
      </c>
      <c r="X775" s="40">
        <f t="shared" si="92"/>
        <v>67029.70999999999</v>
      </c>
    </row>
    <row r="776" spans="2:24" ht="47.25">
      <c r="B776" s="292"/>
      <c r="C776" s="292"/>
      <c r="D776" s="289"/>
      <c r="E776" s="10" t="s">
        <v>162</v>
      </c>
      <c r="F776" s="32"/>
      <c r="G776" s="18"/>
      <c r="H776" s="242"/>
      <c r="I776" s="259">
        <v>3210</v>
      </c>
      <c r="J776" s="9">
        <v>202000</v>
      </c>
      <c r="K776" s="49"/>
      <c r="L776" s="49"/>
      <c r="M776" s="49"/>
      <c r="N776" s="49"/>
      <c r="O776" s="49"/>
      <c r="P776" s="49">
        <v>60000</v>
      </c>
      <c r="Q776" s="49">
        <v>60000</v>
      </c>
      <c r="R776" s="49">
        <v>82000</v>
      </c>
      <c r="S776" s="49"/>
      <c r="T776" s="49"/>
      <c r="U776" s="49"/>
      <c r="V776" s="49"/>
      <c r="W776" s="49">
        <f>21733.71+49022.95</f>
        <v>70756.66</v>
      </c>
      <c r="X776" s="40">
        <f t="shared" si="92"/>
        <v>131243.34</v>
      </c>
    </row>
    <row r="777" spans="2:24" ht="47.25">
      <c r="B777" s="292"/>
      <c r="C777" s="292"/>
      <c r="D777" s="289"/>
      <c r="E777" s="10" t="s">
        <v>170</v>
      </c>
      <c r="F777" s="32"/>
      <c r="G777" s="18"/>
      <c r="H777" s="242"/>
      <c r="I777" s="255">
        <v>3210</v>
      </c>
      <c r="J777" s="9">
        <f>330000+100000</f>
        <v>430000</v>
      </c>
      <c r="K777" s="49"/>
      <c r="L777" s="49"/>
      <c r="M777" s="49"/>
      <c r="N777" s="49"/>
      <c r="O777" s="49">
        <v>100000</v>
      </c>
      <c r="P777" s="49">
        <v>100000</v>
      </c>
      <c r="Q777" s="49">
        <v>130000</v>
      </c>
      <c r="R777" s="49"/>
      <c r="S777" s="49"/>
      <c r="T777" s="49"/>
      <c r="U777" s="49"/>
      <c r="V777" s="49">
        <v>100000</v>
      </c>
      <c r="W777" s="49">
        <f>94840.2+28334.61+201223.97+105601.17</f>
        <v>429999.95</v>
      </c>
      <c r="X777" s="40">
        <f t="shared" si="92"/>
        <v>0.04999999998835847</v>
      </c>
    </row>
    <row r="778" spans="2:24" ht="47.25">
      <c r="B778" s="292"/>
      <c r="C778" s="292"/>
      <c r="D778" s="289"/>
      <c r="E778" s="10" t="s">
        <v>233</v>
      </c>
      <c r="F778" s="32"/>
      <c r="G778" s="18"/>
      <c r="H778" s="242"/>
      <c r="I778" s="259">
        <v>3210</v>
      </c>
      <c r="J778" s="9">
        <v>205000</v>
      </c>
      <c r="K778" s="49"/>
      <c r="L778" s="49"/>
      <c r="M778" s="49"/>
      <c r="N778" s="49"/>
      <c r="O778" s="49"/>
      <c r="P778" s="49">
        <v>60000</v>
      </c>
      <c r="Q778" s="49">
        <v>100000</v>
      </c>
      <c r="R778" s="49">
        <v>45000</v>
      </c>
      <c r="S778" s="49"/>
      <c r="T778" s="49"/>
      <c r="U778" s="49"/>
      <c r="V778" s="49"/>
      <c r="W778" s="49">
        <f>57503.86+34335.01</f>
        <v>91838.87</v>
      </c>
      <c r="X778" s="40">
        <f t="shared" si="92"/>
        <v>113161.13</v>
      </c>
    </row>
    <row r="779" spans="2:24" ht="47.25">
      <c r="B779" s="292"/>
      <c r="C779" s="292"/>
      <c r="D779" s="289"/>
      <c r="E779" s="10" t="s">
        <v>262</v>
      </c>
      <c r="F779" s="32"/>
      <c r="G779" s="18"/>
      <c r="H779" s="242"/>
      <c r="I779" s="259">
        <v>3142</v>
      </c>
      <c r="J779" s="9">
        <f>50000+66000+84000+70000</f>
        <v>270000</v>
      </c>
      <c r="K779" s="49"/>
      <c r="L779" s="49"/>
      <c r="M779" s="49"/>
      <c r="N779" s="49"/>
      <c r="O779" s="49"/>
      <c r="P779" s="49">
        <v>30000</v>
      </c>
      <c r="Q779" s="49"/>
      <c r="R779" s="49">
        <v>20000</v>
      </c>
      <c r="S779" s="49">
        <f>66000+84000</f>
        <v>150000</v>
      </c>
      <c r="T779" s="49"/>
      <c r="U779" s="49">
        <v>70000</v>
      </c>
      <c r="V779" s="49"/>
      <c r="W779" s="49">
        <f>13244+32976</f>
        <v>46220</v>
      </c>
      <c r="X779" s="40">
        <f t="shared" si="92"/>
        <v>223780</v>
      </c>
    </row>
    <row r="780" spans="2:24" ht="31.5" hidden="1">
      <c r="B780" s="292"/>
      <c r="C780" s="292"/>
      <c r="D780" s="289"/>
      <c r="E780" s="10" t="s">
        <v>263</v>
      </c>
      <c r="F780" s="32"/>
      <c r="G780" s="18"/>
      <c r="H780" s="242"/>
      <c r="I780" s="255">
        <v>3122</v>
      </c>
      <c r="J780" s="9">
        <f>300000-300000</f>
        <v>0</v>
      </c>
      <c r="K780" s="49"/>
      <c r="L780" s="49"/>
      <c r="M780" s="49"/>
      <c r="N780" s="49"/>
      <c r="O780" s="49"/>
      <c r="P780" s="49"/>
      <c r="Q780" s="49"/>
      <c r="R780" s="49"/>
      <c r="S780" s="49"/>
      <c r="T780" s="49"/>
      <c r="U780" s="49">
        <f>300000-300000</f>
        <v>0</v>
      </c>
      <c r="V780" s="49"/>
      <c r="W780" s="49"/>
      <c r="X780" s="40">
        <f t="shared" si="92"/>
        <v>0</v>
      </c>
    </row>
    <row r="781" spans="2:24" ht="47.25">
      <c r="B781" s="292"/>
      <c r="C781" s="292"/>
      <c r="D781" s="289"/>
      <c r="E781" s="10" t="s">
        <v>264</v>
      </c>
      <c r="F781" s="32"/>
      <c r="G781" s="18"/>
      <c r="H781" s="242"/>
      <c r="I781" s="259">
        <v>3142</v>
      </c>
      <c r="J781" s="9">
        <v>115000</v>
      </c>
      <c r="K781" s="49"/>
      <c r="L781" s="49"/>
      <c r="M781" s="49"/>
      <c r="N781" s="49"/>
      <c r="O781" s="49"/>
      <c r="P781" s="49"/>
      <c r="Q781" s="49"/>
      <c r="R781" s="49">
        <v>115000</v>
      </c>
      <c r="S781" s="49"/>
      <c r="T781" s="49"/>
      <c r="U781" s="49"/>
      <c r="V781" s="49"/>
      <c r="W781" s="49"/>
      <c r="X781" s="40">
        <f t="shared" si="92"/>
        <v>115000</v>
      </c>
    </row>
    <row r="782" spans="2:24" ht="63">
      <c r="B782" s="292"/>
      <c r="C782" s="292"/>
      <c r="D782" s="289"/>
      <c r="E782" s="130" t="s">
        <v>902</v>
      </c>
      <c r="F782" s="32">
        <v>1017000</v>
      </c>
      <c r="G782" s="18">
        <f t="shared" si="98"/>
        <v>0.983284169124877</v>
      </c>
      <c r="H782" s="242">
        <v>1000000</v>
      </c>
      <c r="I782" s="259">
        <v>3142</v>
      </c>
      <c r="J782" s="9">
        <v>1000000</v>
      </c>
      <c r="K782" s="49"/>
      <c r="L782" s="49"/>
      <c r="M782" s="49"/>
      <c r="N782" s="49"/>
      <c r="O782" s="49">
        <v>100000</v>
      </c>
      <c r="P782" s="49">
        <v>300000</v>
      </c>
      <c r="Q782" s="49">
        <f>300000+100000</f>
        <v>400000</v>
      </c>
      <c r="R782" s="49">
        <f>300000-100000</f>
        <v>200000</v>
      </c>
      <c r="S782" s="49"/>
      <c r="T782" s="49"/>
      <c r="U782" s="49"/>
      <c r="V782" s="49"/>
      <c r="W782" s="49">
        <f>8366.87+480822.8+286881.6+4095.48+160331.8+6028.91+34400.2-309+1704</f>
        <v>982322.66</v>
      </c>
      <c r="X782" s="40">
        <f t="shared" si="92"/>
        <v>17677.339999999967</v>
      </c>
    </row>
    <row r="783" spans="2:24" ht="47.25">
      <c r="B783" s="292"/>
      <c r="C783" s="292"/>
      <c r="D783" s="289"/>
      <c r="E783" s="130" t="s">
        <v>903</v>
      </c>
      <c r="F783" s="66">
        <v>300000</v>
      </c>
      <c r="G783" s="18">
        <f t="shared" si="98"/>
        <v>1</v>
      </c>
      <c r="H783" s="218">
        <v>300000</v>
      </c>
      <c r="I783" s="255">
        <v>3122</v>
      </c>
      <c r="J783" s="66">
        <v>300000</v>
      </c>
      <c r="K783" s="49"/>
      <c r="L783" s="49"/>
      <c r="M783" s="49"/>
      <c r="N783" s="49"/>
      <c r="O783" s="49"/>
      <c r="P783" s="49"/>
      <c r="Q783" s="49"/>
      <c r="R783" s="49"/>
      <c r="S783" s="49">
        <v>100000</v>
      </c>
      <c r="T783" s="49">
        <v>100000</v>
      </c>
      <c r="U783" s="49">
        <v>100000</v>
      </c>
      <c r="V783" s="49"/>
      <c r="W783" s="49">
        <f>23138.77+271026.97</f>
        <v>294165.74</v>
      </c>
      <c r="X783" s="40">
        <f t="shared" si="92"/>
        <v>5834.260000000009</v>
      </c>
    </row>
    <row r="784" spans="2:24" ht="63">
      <c r="B784" s="292"/>
      <c r="C784" s="292"/>
      <c r="D784" s="289"/>
      <c r="E784" s="130" t="s">
        <v>904</v>
      </c>
      <c r="F784" s="66">
        <v>232210</v>
      </c>
      <c r="G784" s="18">
        <f t="shared" si="98"/>
        <v>0.0843159209336376</v>
      </c>
      <c r="H784" s="218">
        <v>19579</v>
      </c>
      <c r="I784" s="259">
        <v>3142</v>
      </c>
      <c r="J784" s="66">
        <v>19579</v>
      </c>
      <c r="K784" s="49"/>
      <c r="L784" s="49"/>
      <c r="M784" s="49"/>
      <c r="N784" s="49"/>
      <c r="O784" s="49">
        <v>19579</v>
      </c>
      <c r="P784" s="49"/>
      <c r="Q784" s="49"/>
      <c r="R784" s="49"/>
      <c r="S784" s="49"/>
      <c r="T784" s="49"/>
      <c r="U784" s="49"/>
      <c r="V784" s="49"/>
      <c r="W784" s="49">
        <f>738.4</f>
        <v>738.4</v>
      </c>
      <c r="X784" s="40">
        <f t="shared" si="92"/>
        <v>18840.6</v>
      </c>
    </row>
    <row r="785" spans="2:24" ht="31.5">
      <c r="B785" s="292"/>
      <c r="C785" s="292"/>
      <c r="D785" s="289"/>
      <c r="E785" s="130" t="s">
        <v>476</v>
      </c>
      <c r="F785" s="66">
        <v>49684</v>
      </c>
      <c r="G785" s="18">
        <f t="shared" si="98"/>
        <v>0.8862750583688914</v>
      </c>
      <c r="H785" s="218">
        <v>44033.69</v>
      </c>
      <c r="I785" s="259">
        <v>3142</v>
      </c>
      <c r="J785" s="66">
        <v>24000</v>
      </c>
      <c r="K785" s="49"/>
      <c r="L785" s="49"/>
      <c r="M785" s="49"/>
      <c r="N785" s="49"/>
      <c r="O785" s="49"/>
      <c r="P785" s="49"/>
      <c r="Q785" s="49">
        <v>24000</v>
      </c>
      <c r="R785" s="49"/>
      <c r="S785" s="49"/>
      <c r="T785" s="49"/>
      <c r="U785" s="49"/>
      <c r="V785" s="49"/>
      <c r="W785" s="49"/>
      <c r="X785" s="40">
        <f t="shared" si="92"/>
        <v>24000</v>
      </c>
    </row>
    <row r="786" spans="2:24" ht="78.75">
      <c r="B786" s="292"/>
      <c r="C786" s="292"/>
      <c r="D786" s="289"/>
      <c r="E786" s="130" t="s">
        <v>715</v>
      </c>
      <c r="F786" s="66">
        <v>70000</v>
      </c>
      <c r="G786" s="18">
        <f t="shared" si="98"/>
        <v>1</v>
      </c>
      <c r="H786" s="218">
        <v>70000</v>
      </c>
      <c r="I786" s="255">
        <v>3142</v>
      </c>
      <c r="J786" s="66">
        <v>70000</v>
      </c>
      <c r="K786" s="49"/>
      <c r="L786" s="49"/>
      <c r="M786" s="49"/>
      <c r="N786" s="49"/>
      <c r="O786" s="49"/>
      <c r="P786" s="49"/>
      <c r="Q786" s="49">
        <v>70000</v>
      </c>
      <c r="R786" s="49"/>
      <c r="S786" s="49"/>
      <c r="T786" s="49"/>
      <c r="U786" s="49"/>
      <c r="V786" s="49"/>
      <c r="W786" s="49">
        <f>26175+26175+802.81+852</f>
        <v>54004.81</v>
      </c>
      <c r="X786" s="40">
        <f t="shared" si="92"/>
        <v>15995.190000000002</v>
      </c>
    </row>
    <row r="787" spans="2:24" ht="78.75">
      <c r="B787" s="292"/>
      <c r="C787" s="292"/>
      <c r="D787" s="289"/>
      <c r="E787" s="130" t="s">
        <v>714</v>
      </c>
      <c r="F787" s="66">
        <v>80000</v>
      </c>
      <c r="G787" s="18">
        <f t="shared" si="98"/>
        <v>1</v>
      </c>
      <c r="H787" s="218">
        <v>80000</v>
      </c>
      <c r="I787" s="259">
        <v>3142</v>
      </c>
      <c r="J787" s="66">
        <v>80000</v>
      </c>
      <c r="K787" s="49"/>
      <c r="L787" s="49"/>
      <c r="M787" s="49"/>
      <c r="N787" s="49"/>
      <c r="O787" s="49"/>
      <c r="P787" s="49"/>
      <c r="Q787" s="49">
        <v>80000</v>
      </c>
      <c r="R787" s="49"/>
      <c r="S787" s="49"/>
      <c r="T787" s="49"/>
      <c r="U787" s="49"/>
      <c r="V787" s="49"/>
      <c r="W787" s="49">
        <f>32863.8+32863.8+1005.65+852</f>
        <v>67585.25</v>
      </c>
      <c r="X787" s="40">
        <f t="shared" si="92"/>
        <v>12414.75</v>
      </c>
    </row>
    <row r="788" spans="2:24" ht="47.25">
      <c r="B788" s="292"/>
      <c r="C788" s="292"/>
      <c r="D788" s="289"/>
      <c r="E788" s="130" t="s">
        <v>794</v>
      </c>
      <c r="F788" s="66">
        <v>97504</v>
      </c>
      <c r="G788" s="18">
        <f t="shared" si="98"/>
        <v>0.543865379881851</v>
      </c>
      <c r="H788" s="218">
        <v>53029.05</v>
      </c>
      <c r="I788" s="259">
        <v>3142</v>
      </c>
      <c r="J788" s="66">
        <f>65000+23000</f>
        <v>88000</v>
      </c>
      <c r="K788" s="49"/>
      <c r="L788" s="49"/>
      <c r="M788" s="49"/>
      <c r="N788" s="49"/>
      <c r="O788" s="49">
        <v>30000</v>
      </c>
      <c r="P788" s="49">
        <v>35000</v>
      </c>
      <c r="Q788" s="49">
        <v>23000</v>
      </c>
      <c r="R788" s="49"/>
      <c r="S788" s="49"/>
      <c r="T788" s="49"/>
      <c r="U788" s="49"/>
      <c r="V788" s="49"/>
      <c r="W788" s="49">
        <f>8721.36+8721.36-8721.36+29673.6</f>
        <v>38394.96</v>
      </c>
      <c r="X788" s="40">
        <f t="shared" si="92"/>
        <v>49605.04</v>
      </c>
    </row>
    <row r="789" spans="2:24" ht="47.25">
      <c r="B789" s="292"/>
      <c r="C789" s="292"/>
      <c r="D789" s="289"/>
      <c r="E789" s="130" t="s">
        <v>795</v>
      </c>
      <c r="F789" s="66">
        <v>156612</v>
      </c>
      <c r="G789" s="18">
        <f t="shared" si="98"/>
        <v>0.47263108829463896</v>
      </c>
      <c r="H789" s="218">
        <v>74019.7</v>
      </c>
      <c r="I789" s="255">
        <v>3142</v>
      </c>
      <c r="J789" s="66">
        <f>115000+3000</f>
        <v>118000</v>
      </c>
      <c r="K789" s="49"/>
      <c r="L789" s="49"/>
      <c r="M789" s="49"/>
      <c r="N789" s="49"/>
      <c r="O789" s="49">
        <v>57500</v>
      </c>
      <c r="P789" s="49">
        <v>57500</v>
      </c>
      <c r="Q789" s="49">
        <v>3000</v>
      </c>
      <c r="R789" s="49"/>
      <c r="S789" s="49"/>
      <c r="T789" s="49"/>
      <c r="U789" s="49"/>
      <c r="V789" s="49"/>
      <c r="W789" s="49">
        <f>13655.04+13655.04-13655.04+28557.6</f>
        <v>42212.64</v>
      </c>
      <c r="X789" s="40">
        <f t="shared" si="92"/>
        <v>75787.36</v>
      </c>
    </row>
    <row r="790" spans="2:24" ht="47.25">
      <c r="B790" s="292"/>
      <c r="C790" s="292"/>
      <c r="D790" s="289"/>
      <c r="E790" s="130" t="s">
        <v>739</v>
      </c>
      <c r="F790" s="66">
        <v>65770</v>
      </c>
      <c r="G790" s="18">
        <f t="shared" si="98"/>
        <v>0.3497035122396229</v>
      </c>
      <c r="H790" s="218">
        <v>23000</v>
      </c>
      <c r="I790" s="259">
        <v>3142</v>
      </c>
      <c r="J790" s="66">
        <v>29000</v>
      </c>
      <c r="K790" s="49"/>
      <c r="L790" s="49"/>
      <c r="M790" s="49"/>
      <c r="N790" s="49"/>
      <c r="O790" s="49"/>
      <c r="P790" s="49">
        <v>29000</v>
      </c>
      <c r="Q790" s="49"/>
      <c r="R790" s="49"/>
      <c r="S790" s="49"/>
      <c r="T790" s="49"/>
      <c r="U790" s="49"/>
      <c r="V790" s="49"/>
      <c r="W790" s="49">
        <f>13616.4</f>
        <v>13616.4</v>
      </c>
      <c r="X790" s="40">
        <f t="shared" si="92"/>
        <v>15383.6</v>
      </c>
    </row>
    <row r="791" spans="2:24" ht="47.25">
      <c r="B791" s="292"/>
      <c r="C791" s="292"/>
      <c r="D791" s="289"/>
      <c r="E791" s="130" t="s">
        <v>767</v>
      </c>
      <c r="F791" s="66">
        <v>1227000</v>
      </c>
      <c r="G791" s="18">
        <f t="shared" si="98"/>
        <v>0.5783911980440097</v>
      </c>
      <c r="H791" s="218">
        <v>709686</v>
      </c>
      <c r="I791" s="259">
        <v>3142</v>
      </c>
      <c r="J791" s="66">
        <v>209686</v>
      </c>
      <c r="K791" s="49"/>
      <c r="L791" s="49"/>
      <c r="M791" s="49"/>
      <c r="N791" s="49"/>
      <c r="O791" s="49">
        <v>209686</v>
      </c>
      <c r="P791" s="49"/>
      <c r="Q791" s="49"/>
      <c r="R791" s="49"/>
      <c r="S791" s="49"/>
      <c r="T791" s="49"/>
      <c r="U791" s="49"/>
      <c r="V791" s="49"/>
      <c r="W791" s="49">
        <f>8809.67+94312.8+1196.53</f>
        <v>104319</v>
      </c>
      <c r="X791" s="40">
        <f aca="true" t="shared" si="99" ref="X791:X854">J791-W791</f>
        <v>105367</v>
      </c>
    </row>
    <row r="792" spans="2:24" ht="47.25">
      <c r="B792" s="292"/>
      <c r="C792" s="292"/>
      <c r="D792" s="289"/>
      <c r="E792" s="130" t="s">
        <v>479</v>
      </c>
      <c r="F792" s="66">
        <v>579976</v>
      </c>
      <c r="G792" s="18">
        <f t="shared" si="98"/>
        <v>0.9983171717450378</v>
      </c>
      <c r="H792" s="218">
        <v>579000</v>
      </c>
      <c r="I792" s="255">
        <v>3142</v>
      </c>
      <c r="J792" s="66">
        <f>579000-60000</f>
        <v>519000</v>
      </c>
      <c r="K792" s="49"/>
      <c r="L792" s="49"/>
      <c r="M792" s="49"/>
      <c r="N792" s="49"/>
      <c r="O792" s="49"/>
      <c r="P792" s="49">
        <v>579000</v>
      </c>
      <c r="Q792" s="49"/>
      <c r="R792" s="49"/>
      <c r="S792" s="49"/>
      <c r="T792" s="49"/>
      <c r="U792" s="49">
        <v>-60000</v>
      </c>
      <c r="V792" s="49"/>
      <c r="W792" s="49">
        <f>509374.8+7546.18+852</f>
        <v>517772.98</v>
      </c>
      <c r="X792" s="40">
        <f t="shared" si="99"/>
        <v>1227.0200000000186</v>
      </c>
    </row>
    <row r="793" spans="2:24" ht="94.5">
      <c r="B793" s="292"/>
      <c r="C793" s="292"/>
      <c r="D793" s="289"/>
      <c r="E793" s="130" t="s">
        <v>509</v>
      </c>
      <c r="F793" s="66">
        <v>661469</v>
      </c>
      <c r="G793" s="18">
        <f t="shared" si="98"/>
        <v>0.030210788411852985</v>
      </c>
      <c r="H793" s="218">
        <v>19983.5</v>
      </c>
      <c r="I793" s="259">
        <v>3142</v>
      </c>
      <c r="J793" s="66">
        <v>14000</v>
      </c>
      <c r="K793" s="49"/>
      <c r="L793" s="49"/>
      <c r="M793" s="49"/>
      <c r="N793" s="49"/>
      <c r="O793" s="49"/>
      <c r="P793" s="49">
        <v>14000</v>
      </c>
      <c r="Q793" s="49"/>
      <c r="R793" s="49"/>
      <c r="S793" s="49"/>
      <c r="T793" s="49"/>
      <c r="U793" s="49"/>
      <c r="V793" s="49"/>
      <c r="W793" s="49">
        <v>7410</v>
      </c>
      <c r="X793" s="40">
        <f t="shared" si="99"/>
        <v>6590</v>
      </c>
    </row>
    <row r="794" spans="2:24" ht="31.5">
      <c r="B794" s="292"/>
      <c r="C794" s="292"/>
      <c r="D794" s="289"/>
      <c r="E794" s="130" t="s">
        <v>416</v>
      </c>
      <c r="F794" s="66">
        <v>81916</v>
      </c>
      <c r="G794" s="18">
        <f t="shared" si="98"/>
        <v>0.2807754284877191</v>
      </c>
      <c r="H794" s="218">
        <v>23000</v>
      </c>
      <c r="I794" s="259">
        <v>3142</v>
      </c>
      <c r="J794" s="66">
        <v>23000</v>
      </c>
      <c r="K794" s="49"/>
      <c r="L794" s="49"/>
      <c r="M794" s="49"/>
      <c r="N794" s="49"/>
      <c r="O794" s="49"/>
      <c r="P794" s="49">
        <v>23000</v>
      </c>
      <c r="Q794" s="49"/>
      <c r="R794" s="49"/>
      <c r="S794" s="49"/>
      <c r="T794" s="49"/>
      <c r="U794" s="49"/>
      <c r="V794" s="49"/>
      <c r="W794" s="49">
        <f>10618+180.26+747</f>
        <v>11545.26</v>
      </c>
      <c r="X794" s="40">
        <f t="shared" si="99"/>
        <v>11454.74</v>
      </c>
    </row>
    <row r="795" spans="2:24" ht="63">
      <c r="B795" s="292"/>
      <c r="C795" s="292"/>
      <c r="D795" s="289"/>
      <c r="E795" s="130" t="s">
        <v>954</v>
      </c>
      <c r="F795" s="66">
        <v>652288</v>
      </c>
      <c r="G795" s="18">
        <f t="shared" si="98"/>
        <v>0.58687849538854</v>
      </c>
      <c r="H795" s="218">
        <v>382813.8</v>
      </c>
      <c r="I795" s="255">
        <v>3142</v>
      </c>
      <c r="J795" s="66">
        <f>400000+98000</f>
        <v>498000</v>
      </c>
      <c r="K795" s="49"/>
      <c r="L795" s="49"/>
      <c r="M795" s="49"/>
      <c r="N795" s="49"/>
      <c r="O795" s="49">
        <v>200000</v>
      </c>
      <c r="P795" s="49">
        <v>200000</v>
      </c>
      <c r="Q795" s="49"/>
      <c r="R795" s="49"/>
      <c r="S795" s="49">
        <v>98000</v>
      </c>
      <c r="T795" s="49"/>
      <c r="U795" s="49"/>
      <c r="V795" s="49"/>
      <c r="W795" s="49">
        <f>146902.97+2287.66+130928.68+175506.18</f>
        <v>455625.49</v>
      </c>
      <c r="X795" s="40">
        <f t="shared" si="99"/>
        <v>42374.51000000001</v>
      </c>
    </row>
    <row r="796" spans="2:24" ht="63">
      <c r="B796" s="292"/>
      <c r="C796" s="292"/>
      <c r="D796" s="289"/>
      <c r="E796" s="130" t="s">
        <v>269</v>
      </c>
      <c r="F796" s="66"/>
      <c r="G796" s="18"/>
      <c r="H796" s="218"/>
      <c r="I796" s="259">
        <v>3142</v>
      </c>
      <c r="J796" s="66">
        <v>50000</v>
      </c>
      <c r="K796" s="49"/>
      <c r="L796" s="49"/>
      <c r="M796" s="49"/>
      <c r="N796" s="49"/>
      <c r="O796" s="49"/>
      <c r="P796" s="49"/>
      <c r="Q796" s="49"/>
      <c r="R796" s="49">
        <v>50000</v>
      </c>
      <c r="S796" s="49"/>
      <c r="T796" s="49"/>
      <c r="U796" s="49"/>
      <c r="V796" s="49"/>
      <c r="W796" s="49"/>
      <c r="X796" s="40">
        <f t="shared" si="99"/>
        <v>50000</v>
      </c>
    </row>
    <row r="797" spans="2:24" ht="63">
      <c r="B797" s="292"/>
      <c r="C797" s="292"/>
      <c r="D797" s="289"/>
      <c r="E797" s="130" t="s">
        <v>186</v>
      </c>
      <c r="F797" s="66">
        <v>1012912</v>
      </c>
      <c r="G797" s="18">
        <f t="shared" si="98"/>
        <v>0.20831029743946172</v>
      </c>
      <c r="H797" s="218">
        <v>211000</v>
      </c>
      <c r="I797" s="259">
        <v>3122</v>
      </c>
      <c r="J797" s="66">
        <f>211000+32000+100000-3950</f>
        <v>339050</v>
      </c>
      <c r="K797" s="49"/>
      <c r="L797" s="49"/>
      <c r="M797" s="49"/>
      <c r="N797" s="49"/>
      <c r="O797" s="49">
        <v>100000</v>
      </c>
      <c r="P797" s="49">
        <f>111000+32000</f>
        <v>143000</v>
      </c>
      <c r="Q797" s="49"/>
      <c r="R797" s="49">
        <v>100000</v>
      </c>
      <c r="S797" s="49"/>
      <c r="T797" s="49"/>
      <c r="U797" s="49">
        <v>-3950</v>
      </c>
      <c r="V797" s="49"/>
      <c r="W797" s="49">
        <f>166086+726+74112+3080.77+1267.07+90130.8+1775</f>
        <v>337177.64</v>
      </c>
      <c r="X797" s="40">
        <f t="shared" si="99"/>
        <v>1872.359999999986</v>
      </c>
    </row>
    <row r="798" spans="2:24" ht="78.75" hidden="1">
      <c r="B798" s="292"/>
      <c r="C798" s="292"/>
      <c r="D798" s="289"/>
      <c r="E798" s="10" t="s">
        <v>217</v>
      </c>
      <c r="F798" s="49"/>
      <c r="G798" s="18"/>
      <c r="H798" s="220"/>
      <c r="I798" s="255">
        <v>3142</v>
      </c>
      <c r="J798" s="21">
        <f>500000-500000</f>
        <v>0</v>
      </c>
      <c r="K798" s="49"/>
      <c r="L798" s="49"/>
      <c r="M798" s="49"/>
      <c r="N798" s="49"/>
      <c r="O798" s="49"/>
      <c r="P798" s="49">
        <v>70000</v>
      </c>
      <c r="Q798" s="49">
        <f>100000-100000</f>
        <v>0</v>
      </c>
      <c r="R798" s="49">
        <f>165000+100000</f>
        <v>265000</v>
      </c>
      <c r="S798" s="49">
        <v>165000</v>
      </c>
      <c r="T798" s="49"/>
      <c r="U798" s="49">
        <v>-500000</v>
      </c>
      <c r="V798" s="49"/>
      <c r="W798" s="49"/>
      <c r="X798" s="40">
        <f t="shared" si="99"/>
        <v>0</v>
      </c>
    </row>
    <row r="799" spans="2:24" ht="94.5" hidden="1">
      <c r="B799" s="292"/>
      <c r="C799" s="292"/>
      <c r="D799" s="289"/>
      <c r="E799" s="10" t="s">
        <v>187</v>
      </c>
      <c r="F799" s="49"/>
      <c r="G799" s="18"/>
      <c r="H799" s="220"/>
      <c r="I799" s="259">
        <v>3210</v>
      </c>
      <c r="J799" s="21">
        <f>100000-100000</f>
        <v>0</v>
      </c>
      <c r="K799" s="49"/>
      <c r="L799" s="49"/>
      <c r="M799" s="49"/>
      <c r="N799" s="49"/>
      <c r="O799" s="49"/>
      <c r="P799" s="49"/>
      <c r="Q799" s="49">
        <v>100000</v>
      </c>
      <c r="R799" s="49"/>
      <c r="S799" s="49"/>
      <c r="T799" s="49"/>
      <c r="U799" s="49"/>
      <c r="V799" s="49">
        <v>-100000</v>
      </c>
      <c r="W799" s="49"/>
      <c r="X799" s="40">
        <f t="shared" si="99"/>
        <v>0</v>
      </c>
    </row>
    <row r="800" spans="2:24" ht="47.25">
      <c r="B800" s="292"/>
      <c r="C800" s="292"/>
      <c r="D800" s="289"/>
      <c r="E800" s="10" t="s">
        <v>188</v>
      </c>
      <c r="F800" s="49">
        <v>198427</v>
      </c>
      <c r="G800" s="18">
        <f t="shared" si="98"/>
        <v>0.5342014947562579</v>
      </c>
      <c r="H800" s="220">
        <v>106000</v>
      </c>
      <c r="I800" s="259">
        <v>3210</v>
      </c>
      <c r="J800" s="21">
        <v>106000</v>
      </c>
      <c r="K800" s="49"/>
      <c r="L800" s="49"/>
      <c r="M800" s="49"/>
      <c r="N800" s="49"/>
      <c r="O800" s="49">
        <v>106000</v>
      </c>
      <c r="P800" s="49"/>
      <c r="Q800" s="49"/>
      <c r="R800" s="49"/>
      <c r="S800" s="49"/>
      <c r="T800" s="49"/>
      <c r="U800" s="49"/>
      <c r="V800" s="49"/>
      <c r="W800" s="49">
        <v>101033.52</v>
      </c>
      <c r="X800" s="40">
        <f t="shared" si="99"/>
        <v>4966.479999999996</v>
      </c>
    </row>
    <row r="801" spans="2:24" ht="15.75">
      <c r="B801" s="291" t="s">
        <v>487</v>
      </c>
      <c r="C801" s="291" t="s">
        <v>353</v>
      </c>
      <c r="D801" s="288" t="s">
        <v>554</v>
      </c>
      <c r="E801" s="94"/>
      <c r="F801" s="76"/>
      <c r="G801" s="18"/>
      <c r="H801" s="224"/>
      <c r="I801" s="255"/>
      <c r="J801" s="211">
        <f>SUM(J802:J806)</f>
        <v>1208797.73</v>
      </c>
      <c r="K801" s="211">
        <f aca="true" t="shared" si="100" ref="K801:W801">SUM(K802:K806)</f>
        <v>0</v>
      </c>
      <c r="L801" s="211">
        <f t="shared" si="100"/>
        <v>99297.73</v>
      </c>
      <c r="M801" s="211">
        <f t="shared" si="100"/>
        <v>0</v>
      </c>
      <c r="N801" s="211">
        <f t="shared" si="100"/>
        <v>0</v>
      </c>
      <c r="O801" s="211">
        <f t="shared" si="100"/>
        <v>561000</v>
      </c>
      <c r="P801" s="211">
        <f t="shared" si="100"/>
        <v>280000</v>
      </c>
      <c r="Q801" s="211">
        <f t="shared" si="100"/>
        <v>109000</v>
      </c>
      <c r="R801" s="211">
        <f t="shared" si="100"/>
        <v>122000</v>
      </c>
      <c r="S801" s="211">
        <f t="shared" si="100"/>
        <v>0</v>
      </c>
      <c r="T801" s="211">
        <f t="shared" si="100"/>
        <v>37500</v>
      </c>
      <c r="U801" s="211">
        <f t="shared" si="100"/>
        <v>0</v>
      </c>
      <c r="V801" s="211">
        <f t="shared" si="100"/>
        <v>0</v>
      </c>
      <c r="W801" s="211">
        <f t="shared" si="100"/>
        <v>765222.8899999999</v>
      </c>
      <c r="X801" s="184">
        <f t="shared" si="99"/>
        <v>443574.8400000001</v>
      </c>
    </row>
    <row r="802" spans="2:24" ht="94.5">
      <c r="B802" s="292"/>
      <c r="C802" s="292"/>
      <c r="D802" s="289"/>
      <c r="E802" s="12" t="s">
        <v>968</v>
      </c>
      <c r="F802" s="32">
        <v>848844</v>
      </c>
      <c r="G802" s="18">
        <f t="shared" si="98"/>
        <v>0.550741007770568</v>
      </c>
      <c r="H802" s="242">
        <v>467493.2</v>
      </c>
      <c r="I802" s="259">
        <v>3142</v>
      </c>
      <c r="J802" s="9">
        <v>349</v>
      </c>
      <c r="K802" s="49"/>
      <c r="L802" s="9">
        <v>349</v>
      </c>
      <c r="M802" s="49"/>
      <c r="N802" s="49"/>
      <c r="O802" s="49"/>
      <c r="P802" s="49"/>
      <c r="Q802" s="49"/>
      <c r="R802" s="49"/>
      <c r="S802" s="49"/>
      <c r="T802" s="49"/>
      <c r="U802" s="49"/>
      <c r="V802" s="49"/>
      <c r="W802" s="49">
        <v>349</v>
      </c>
      <c r="X802" s="40">
        <f t="shared" si="99"/>
        <v>0</v>
      </c>
    </row>
    <row r="803" spans="2:24" ht="78.75">
      <c r="B803" s="292"/>
      <c r="C803" s="292"/>
      <c r="D803" s="289"/>
      <c r="E803" s="33" t="s">
        <v>801</v>
      </c>
      <c r="F803" s="32">
        <v>661770</v>
      </c>
      <c r="G803" s="18">
        <f t="shared" si="98"/>
        <v>0.30206567236351</v>
      </c>
      <c r="H803" s="242">
        <v>199898</v>
      </c>
      <c r="I803" s="259">
        <v>3142</v>
      </c>
      <c r="J803" s="9">
        <v>98948.73</v>
      </c>
      <c r="K803" s="49"/>
      <c r="L803" s="9">
        <v>98948.73</v>
      </c>
      <c r="M803" s="49"/>
      <c r="N803" s="49"/>
      <c r="O803" s="49"/>
      <c r="P803" s="49"/>
      <c r="Q803" s="49"/>
      <c r="R803" s="49"/>
      <c r="S803" s="49"/>
      <c r="T803" s="49"/>
      <c r="U803" s="49"/>
      <c r="V803" s="49"/>
      <c r="W803" s="49">
        <v>98948.73</v>
      </c>
      <c r="X803" s="40">
        <f t="shared" si="99"/>
        <v>0</v>
      </c>
    </row>
    <row r="804" spans="2:24" ht="47.25">
      <c r="B804" s="292"/>
      <c r="C804" s="292"/>
      <c r="D804" s="289"/>
      <c r="E804" s="130" t="s">
        <v>189</v>
      </c>
      <c r="F804" s="66">
        <v>14330803</v>
      </c>
      <c r="G804" s="18">
        <f t="shared" si="98"/>
        <v>0.034610761169489246</v>
      </c>
      <c r="H804" s="218">
        <v>496000</v>
      </c>
      <c r="I804" s="259">
        <v>3122</v>
      </c>
      <c r="J804" s="66">
        <v>496000</v>
      </c>
      <c r="K804" s="49"/>
      <c r="L804" s="49"/>
      <c r="M804" s="49"/>
      <c r="N804" s="49"/>
      <c r="O804" s="49">
        <v>496000</v>
      </c>
      <c r="P804" s="49"/>
      <c r="Q804" s="49"/>
      <c r="R804" s="49"/>
      <c r="S804" s="49"/>
      <c r="T804" s="49"/>
      <c r="U804" s="49"/>
      <c r="V804" s="49"/>
      <c r="W804" s="49">
        <v>495852.23</v>
      </c>
      <c r="X804" s="40">
        <f t="shared" si="99"/>
        <v>147.77000000001863</v>
      </c>
    </row>
    <row r="805" spans="2:24" ht="78.75">
      <c r="B805" s="292"/>
      <c r="C805" s="292"/>
      <c r="D805" s="289"/>
      <c r="E805" s="130" t="s">
        <v>974</v>
      </c>
      <c r="F805" s="66">
        <v>848844</v>
      </c>
      <c r="G805" s="18">
        <f t="shared" si="98"/>
        <v>0.550741007770568</v>
      </c>
      <c r="H805" s="218">
        <v>467493.2</v>
      </c>
      <c r="I805" s="259">
        <v>3142</v>
      </c>
      <c r="J805" s="66">
        <v>437000</v>
      </c>
      <c r="K805" s="49"/>
      <c r="L805" s="49"/>
      <c r="M805" s="49"/>
      <c r="N805" s="49"/>
      <c r="O805" s="49"/>
      <c r="P805" s="49">
        <v>215000</v>
      </c>
      <c r="Q805" s="49">
        <v>100000</v>
      </c>
      <c r="R805" s="49">
        <f>122000-37500</f>
        <v>84500</v>
      </c>
      <c r="S805" s="49"/>
      <c r="T805" s="49">
        <f>37500</f>
        <v>37500</v>
      </c>
      <c r="U805" s="49"/>
      <c r="V805" s="49"/>
      <c r="W805" s="49"/>
      <c r="X805" s="40">
        <f t="shared" si="99"/>
        <v>437000</v>
      </c>
    </row>
    <row r="806" spans="2:24" ht="78.75">
      <c r="B806" s="293"/>
      <c r="C806" s="293"/>
      <c r="D806" s="290"/>
      <c r="E806" s="130" t="s">
        <v>716</v>
      </c>
      <c r="F806" s="66">
        <v>661770</v>
      </c>
      <c r="G806" s="18">
        <f t="shared" si="98"/>
        <v>0.30206567236351</v>
      </c>
      <c r="H806" s="218">
        <v>199898</v>
      </c>
      <c r="I806" s="259">
        <v>3142</v>
      </c>
      <c r="J806" s="66">
        <f>130000+46500</f>
        <v>176500</v>
      </c>
      <c r="K806" s="49"/>
      <c r="L806" s="49"/>
      <c r="M806" s="49"/>
      <c r="N806" s="49"/>
      <c r="O806" s="49">
        <v>65000</v>
      </c>
      <c r="P806" s="49">
        <v>65000</v>
      </c>
      <c r="Q806" s="49">
        <v>9000</v>
      </c>
      <c r="R806" s="49">
        <f>37500</f>
        <v>37500</v>
      </c>
      <c r="S806" s="49"/>
      <c r="T806" s="49">
        <f>37500-37500</f>
        <v>0</v>
      </c>
      <c r="U806" s="49"/>
      <c r="V806" s="49"/>
      <c r="W806" s="49">
        <f>1152+162690+1846+4384.93</f>
        <v>170072.93</v>
      </c>
      <c r="X806" s="40">
        <f t="shared" si="99"/>
        <v>6427.070000000007</v>
      </c>
    </row>
    <row r="807" spans="2:24" ht="15.75">
      <c r="B807" s="291" t="s">
        <v>9</v>
      </c>
      <c r="C807" s="291" t="s">
        <v>514</v>
      </c>
      <c r="D807" s="288" t="s">
        <v>10</v>
      </c>
      <c r="E807" s="94"/>
      <c r="F807" s="76"/>
      <c r="G807" s="18"/>
      <c r="H807" s="224"/>
      <c r="I807" s="255"/>
      <c r="J807" s="211">
        <f aca="true" t="shared" si="101" ref="J807:W807">SUM(J808:J858)</f>
        <v>35722517.96000001</v>
      </c>
      <c r="K807" s="211">
        <f t="shared" si="101"/>
        <v>0</v>
      </c>
      <c r="L807" s="211">
        <f t="shared" si="101"/>
        <v>471102.4199999999</v>
      </c>
      <c r="M807" s="211">
        <f t="shared" si="101"/>
        <v>0</v>
      </c>
      <c r="N807" s="211">
        <f t="shared" si="101"/>
        <v>0</v>
      </c>
      <c r="O807" s="211">
        <f t="shared" si="101"/>
        <v>446782.66000000003</v>
      </c>
      <c r="P807" s="211">
        <f t="shared" si="101"/>
        <v>2622872.3</v>
      </c>
      <c r="Q807" s="211">
        <f t="shared" si="101"/>
        <v>1808135.9700000002</v>
      </c>
      <c r="R807" s="211">
        <f t="shared" si="101"/>
        <v>8541948.33</v>
      </c>
      <c r="S807" s="211">
        <f t="shared" si="101"/>
        <v>13598346.28</v>
      </c>
      <c r="T807" s="211">
        <f t="shared" si="101"/>
        <v>7067000</v>
      </c>
      <c r="U807" s="211">
        <f t="shared" si="101"/>
        <v>1113330</v>
      </c>
      <c r="V807" s="211">
        <f t="shared" si="101"/>
        <v>53000</v>
      </c>
      <c r="W807" s="211">
        <f t="shared" si="101"/>
        <v>13324130.3</v>
      </c>
      <c r="X807" s="184">
        <f t="shared" si="99"/>
        <v>22398387.660000008</v>
      </c>
    </row>
    <row r="808" spans="2:24" ht="63">
      <c r="B808" s="292"/>
      <c r="C808" s="292"/>
      <c r="D808" s="289"/>
      <c r="E808" s="275" t="s">
        <v>477</v>
      </c>
      <c r="F808" s="32">
        <v>320536</v>
      </c>
      <c r="G808" s="18">
        <f t="shared" si="98"/>
        <v>0.9690393590735518</v>
      </c>
      <c r="H808" s="242">
        <v>310612</v>
      </c>
      <c r="I808" s="259">
        <v>3122</v>
      </c>
      <c r="J808" s="9">
        <v>9924</v>
      </c>
      <c r="K808" s="49"/>
      <c r="L808" s="9">
        <v>9924</v>
      </c>
      <c r="M808" s="49"/>
      <c r="N808" s="49"/>
      <c r="O808" s="49"/>
      <c r="P808" s="49"/>
      <c r="Q808" s="49"/>
      <c r="R808" s="49"/>
      <c r="S808" s="49"/>
      <c r="T808" s="49"/>
      <c r="U808" s="49"/>
      <c r="V808" s="49"/>
      <c r="W808" s="49">
        <v>9924</v>
      </c>
      <c r="X808" s="40">
        <f t="shared" si="99"/>
        <v>0</v>
      </c>
    </row>
    <row r="809" spans="2:24" ht="63">
      <c r="B809" s="292"/>
      <c r="C809" s="292"/>
      <c r="D809" s="289"/>
      <c r="E809" s="275" t="s">
        <v>577</v>
      </c>
      <c r="F809" s="32">
        <v>644198</v>
      </c>
      <c r="G809" s="18">
        <f t="shared" si="98"/>
        <v>0.28123247821322017</v>
      </c>
      <c r="H809" s="242">
        <v>181169.4</v>
      </c>
      <c r="I809" s="259">
        <v>3142</v>
      </c>
      <c r="J809" s="9">
        <v>6499.4</v>
      </c>
      <c r="K809" s="49"/>
      <c r="L809" s="9">
        <v>6499.4</v>
      </c>
      <c r="M809" s="49"/>
      <c r="N809" s="49"/>
      <c r="O809" s="49"/>
      <c r="P809" s="49"/>
      <c r="Q809" s="49"/>
      <c r="R809" s="49"/>
      <c r="S809" s="49"/>
      <c r="T809" s="49"/>
      <c r="U809" s="49"/>
      <c r="V809" s="49"/>
      <c r="W809" s="49">
        <v>6499.4</v>
      </c>
      <c r="X809" s="40">
        <f t="shared" si="99"/>
        <v>0</v>
      </c>
    </row>
    <row r="810" spans="2:24" ht="78.75">
      <c r="B810" s="292"/>
      <c r="C810" s="292"/>
      <c r="D810" s="289"/>
      <c r="E810" s="275" t="s">
        <v>586</v>
      </c>
      <c r="F810" s="35">
        <v>1089162</v>
      </c>
      <c r="G810" s="18">
        <f t="shared" si="98"/>
        <v>0.8373322884933554</v>
      </c>
      <c r="H810" s="242">
        <v>911990.51</v>
      </c>
      <c r="I810" s="259">
        <v>3132</v>
      </c>
      <c r="J810" s="9">
        <v>27770.4</v>
      </c>
      <c r="K810" s="49"/>
      <c r="L810" s="9">
        <v>27770.4</v>
      </c>
      <c r="M810" s="49"/>
      <c r="N810" s="49"/>
      <c r="O810" s="49"/>
      <c r="P810" s="49"/>
      <c r="Q810" s="49"/>
      <c r="R810" s="49"/>
      <c r="S810" s="49"/>
      <c r="T810" s="49"/>
      <c r="U810" s="49"/>
      <c r="V810" s="49"/>
      <c r="W810" s="49">
        <v>27770.4</v>
      </c>
      <c r="X810" s="40">
        <f t="shared" si="99"/>
        <v>0</v>
      </c>
    </row>
    <row r="811" spans="2:24" ht="63">
      <c r="B811" s="292"/>
      <c r="C811" s="292"/>
      <c r="D811" s="289"/>
      <c r="E811" s="275" t="s">
        <v>480</v>
      </c>
      <c r="F811" s="32">
        <v>273003</v>
      </c>
      <c r="G811" s="18">
        <f t="shared" si="98"/>
        <v>0.9532276202093017</v>
      </c>
      <c r="H811" s="242">
        <v>260234</v>
      </c>
      <c r="I811" s="259">
        <v>3142</v>
      </c>
      <c r="J811" s="9">
        <v>12769</v>
      </c>
      <c r="K811" s="49"/>
      <c r="L811" s="9">
        <v>12769</v>
      </c>
      <c r="M811" s="49"/>
      <c r="N811" s="49"/>
      <c r="O811" s="49"/>
      <c r="P811" s="49"/>
      <c r="Q811" s="49"/>
      <c r="R811" s="49"/>
      <c r="S811" s="49"/>
      <c r="T811" s="49"/>
      <c r="U811" s="49"/>
      <c r="V811" s="49"/>
      <c r="W811" s="49">
        <v>12769</v>
      </c>
      <c r="X811" s="40">
        <f t="shared" si="99"/>
        <v>0</v>
      </c>
    </row>
    <row r="812" spans="2:24" ht="31.5">
      <c r="B812" s="292"/>
      <c r="C812" s="292"/>
      <c r="D812" s="289"/>
      <c r="E812" s="275" t="s">
        <v>516</v>
      </c>
      <c r="F812" s="32">
        <v>51257653</v>
      </c>
      <c r="G812" s="18">
        <f t="shared" si="98"/>
        <v>0.992599153925366</v>
      </c>
      <c r="H812" s="242">
        <v>50878303</v>
      </c>
      <c r="I812" s="259">
        <v>3142</v>
      </c>
      <c r="J812" s="9">
        <v>99850</v>
      </c>
      <c r="K812" s="49"/>
      <c r="L812" s="9">
        <v>99850</v>
      </c>
      <c r="M812" s="49"/>
      <c r="N812" s="49"/>
      <c r="O812" s="49"/>
      <c r="P812" s="49"/>
      <c r="Q812" s="49"/>
      <c r="R812" s="49"/>
      <c r="S812" s="49"/>
      <c r="T812" s="49"/>
      <c r="U812" s="49"/>
      <c r="V812" s="49"/>
      <c r="W812" s="49">
        <v>99850</v>
      </c>
      <c r="X812" s="40">
        <f t="shared" si="99"/>
        <v>0</v>
      </c>
    </row>
    <row r="813" spans="2:24" ht="78.75">
      <c r="B813" s="292"/>
      <c r="C813" s="292"/>
      <c r="D813" s="289"/>
      <c r="E813" s="276" t="s">
        <v>100</v>
      </c>
      <c r="F813" s="32">
        <v>35450000</v>
      </c>
      <c r="G813" s="18">
        <f t="shared" si="98"/>
        <v>0.9967136530324401</v>
      </c>
      <c r="H813" s="242">
        <v>35333499</v>
      </c>
      <c r="I813" s="259">
        <v>3142</v>
      </c>
      <c r="J813" s="9">
        <v>32192</v>
      </c>
      <c r="K813" s="49"/>
      <c r="L813" s="9">
        <v>32192</v>
      </c>
      <c r="M813" s="49"/>
      <c r="N813" s="49"/>
      <c r="O813" s="49"/>
      <c r="P813" s="49"/>
      <c r="Q813" s="49"/>
      <c r="R813" s="49"/>
      <c r="S813" s="49"/>
      <c r="T813" s="49"/>
      <c r="U813" s="49"/>
      <c r="V813" s="49"/>
      <c r="W813" s="49">
        <v>32192</v>
      </c>
      <c r="X813" s="40">
        <f t="shared" si="99"/>
        <v>0</v>
      </c>
    </row>
    <row r="814" spans="2:24" ht="78.75">
      <c r="B814" s="292"/>
      <c r="C814" s="292"/>
      <c r="D814" s="289"/>
      <c r="E814" s="277" t="s">
        <v>159</v>
      </c>
      <c r="F814" s="32">
        <v>129286</v>
      </c>
      <c r="G814" s="18">
        <f t="shared" si="98"/>
        <v>0.9240567424160389</v>
      </c>
      <c r="H814" s="242">
        <v>119467.6</v>
      </c>
      <c r="I814" s="259">
        <v>3132</v>
      </c>
      <c r="J814" s="9">
        <v>348</v>
      </c>
      <c r="K814" s="49"/>
      <c r="L814" s="9">
        <v>348</v>
      </c>
      <c r="M814" s="49"/>
      <c r="N814" s="49"/>
      <c r="O814" s="49"/>
      <c r="P814" s="49"/>
      <c r="Q814" s="49"/>
      <c r="R814" s="49"/>
      <c r="S814" s="49"/>
      <c r="T814" s="49"/>
      <c r="U814" s="49"/>
      <c r="V814" s="49"/>
      <c r="W814" s="49">
        <v>348</v>
      </c>
      <c r="X814" s="40">
        <f t="shared" si="99"/>
        <v>0</v>
      </c>
    </row>
    <row r="815" spans="2:24" ht="78.75">
      <c r="B815" s="292"/>
      <c r="C815" s="292"/>
      <c r="D815" s="289"/>
      <c r="E815" s="277" t="s">
        <v>793</v>
      </c>
      <c r="F815" s="32">
        <v>138818</v>
      </c>
      <c r="G815" s="18">
        <f t="shared" si="98"/>
        <v>0.9940518520652942</v>
      </c>
      <c r="H815" s="242">
        <v>137992.29</v>
      </c>
      <c r="I815" s="259">
        <v>3132</v>
      </c>
      <c r="J815" s="9">
        <v>825.71</v>
      </c>
      <c r="K815" s="49"/>
      <c r="L815" s="9">
        <v>825.71</v>
      </c>
      <c r="M815" s="49"/>
      <c r="N815" s="49"/>
      <c r="O815" s="49"/>
      <c r="P815" s="49"/>
      <c r="Q815" s="49"/>
      <c r="R815" s="49"/>
      <c r="S815" s="49"/>
      <c r="T815" s="49"/>
      <c r="U815" s="49"/>
      <c r="V815" s="49"/>
      <c r="W815" s="49">
        <v>825.71</v>
      </c>
      <c r="X815" s="40">
        <f t="shared" si="99"/>
        <v>0</v>
      </c>
    </row>
    <row r="816" spans="2:24" ht="78.75">
      <c r="B816" s="292"/>
      <c r="C816" s="292"/>
      <c r="D816" s="289"/>
      <c r="E816" s="277" t="s">
        <v>745</v>
      </c>
      <c r="F816" s="32">
        <v>133097</v>
      </c>
      <c r="G816" s="18">
        <f t="shared" si="98"/>
        <v>0.9937961787267933</v>
      </c>
      <c r="H816" s="242">
        <v>132271.29</v>
      </c>
      <c r="I816" s="259">
        <v>3132</v>
      </c>
      <c r="J816" s="9">
        <v>825.71</v>
      </c>
      <c r="K816" s="49"/>
      <c r="L816" s="9">
        <v>825.71</v>
      </c>
      <c r="M816" s="49"/>
      <c r="N816" s="49"/>
      <c r="O816" s="49"/>
      <c r="P816" s="49"/>
      <c r="Q816" s="49"/>
      <c r="R816" s="49"/>
      <c r="S816" s="49"/>
      <c r="T816" s="49"/>
      <c r="U816" s="49"/>
      <c r="V816" s="49"/>
      <c r="W816" s="49">
        <v>825.71</v>
      </c>
      <c r="X816" s="40">
        <f t="shared" si="99"/>
        <v>0</v>
      </c>
    </row>
    <row r="817" spans="2:24" ht="78.75">
      <c r="B817" s="292"/>
      <c r="C817" s="292"/>
      <c r="D817" s="289"/>
      <c r="E817" s="277" t="s">
        <v>746</v>
      </c>
      <c r="F817" s="32">
        <v>127630</v>
      </c>
      <c r="G817" s="18">
        <f t="shared" si="98"/>
        <v>0.9935304395518294</v>
      </c>
      <c r="H817" s="242">
        <v>126804.29</v>
      </c>
      <c r="I817" s="259">
        <v>3132</v>
      </c>
      <c r="J817" s="9">
        <v>825.71</v>
      </c>
      <c r="K817" s="49"/>
      <c r="L817" s="9">
        <v>825.71</v>
      </c>
      <c r="M817" s="49"/>
      <c r="N817" s="49"/>
      <c r="O817" s="49"/>
      <c r="P817" s="49"/>
      <c r="Q817" s="49"/>
      <c r="R817" s="49"/>
      <c r="S817" s="49"/>
      <c r="T817" s="49"/>
      <c r="U817" s="49"/>
      <c r="V817" s="49"/>
      <c r="W817" s="49">
        <v>825.71</v>
      </c>
      <c r="X817" s="40">
        <f t="shared" si="99"/>
        <v>0</v>
      </c>
    </row>
    <row r="818" spans="2:24" ht="78.75">
      <c r="B818" s="292"/>
      <c r="C818" s="292"/>
      <c r="D818" s="289"/>
      <c r="E818" s="277" t="s">
        <v>747</v>
      </c>
      <c r="F818" s="32">
        <v>244666</v>
      </c>
      <c r="G818" s="18">
        <f t="shared" si="98"/>
        <v>0.18163492271096116</v>
      </c>
      <c r="H818" s="242">
        <v>44439.89</v>
      </c>
      <c r="I818" s="259">
        <v>3132</v>
      </c>
      <c r="J818" s="9">
        <v>95769.11</v>
      </c>
      <c r="K818" s="49"/>
      <c r="L818" s="9">
        <v>95769.11</v>
      </c>
      <c r="M818" s="49"/>
      <c r="N818" s="49"/>
      <c r="O818" s="49"/>
      <c r="P818" s="49"/>
      <c r="Q818" s="49"/>
      <c r="R818" s="49"/>
      <c r="S818" s="49"/>
      <c r="T818" s="49"/>
      <c r="U818" s="49"/>
      <c r="V818" s="49"/>
      <c r="W818" s="49">
        <v>95769.11</v>
      </c>
      <c r="X818" s="40">
        <f t="shared" si="99"/>
        <v>0</v>
      </c>
    </row>
    <row r="819" spans="2:24" ht="94.5">
      <c r="B819" s="292"/>
      <c r="C819" s="292"/>
      <c r="D819" s="289"/>
      <c r="E819" s="277" t="s">
        <v>748</v>
      </c>
      <c r="F819" s="32">
        <v>363762</v>
      </c>
      <c r="G819" s="18">
        <f t="shared" si="98"/>
        <v>0.967574952853789</v>
      </c>
      <c r="H819" s="242">
        <v>351967</v>
      </c>
      <c r="I819" s="259">
        <v>3132</v>
      </c>
      <c r="J819" s="9">
        <v>11795</v>
      </c>
      <c r="K819" s="49"/>
      <c r="L819" s="9">
        <v>11795</v>
      </c>
      <c r="M819" s="49"/>
      <c r="N819" s="49"/>
      <c r="O819" s="49"/>
      <c r="P819" s="49"/>
      <c r="Q819" s="49"/>
      <c r="R819" s="49"/>
      <c r="S819" s="49"/>
      <c r="T819" s="49"/>
      <c r="U819" s="49"/>
      <c r="V819" s="49"/>
      <c r="W819" s="49">
        <v>11795</v>
      </c>
      <c r="X819" s="40">
        <f t="shared" si="99"/>
        <v>0</v>
      </c>
    </row>
    <row r="820" spans="2:24" ht="110.25">
      <c r="B820" s="292"/>
      <c r="C820" s="292"/>
      <c r="D820" s="289"/>
      <c r="E820" s="277" t="s">
        <v>418</v>
      </c>
      <c r="F820" s="32">
        <v>1050150</v>
      </c>
      <c r="G820" s="18">
        <f t="shared" si="98"/>
        <v>0.7899134695043566</v>
      </c>
      <c r="H820" s="242">
        <v>829527.63</v>
      </c>
      <c r="I820" s="259">
        <v>3132</v>
      </c>
      <c r="J820" s="9">
        <v>108605.17</v>
      </c>
      <c r="K820" s="49"/>
      <c r="L820" s="9">
        <v>108605.17</v>
      </c>
      <c r="M820" s="49"/>
      <c r="N820" s="49"/>
      <c r="O820" s="49"/>
      <c r="P820" s="49"/>
      <c r="Q820" s="49"/>
      <c r="R820" s="49"/>
      <c r="S820" s="49"/>
      <c r="T820" s="49"/>
      <c r="U820" s="49"/>
      <c r="V820" s="49"/>
      <c r="W820" s="49">
        <v>108605.17</v>
      </c>
      <c r="X820" s="40">
        <f t="shared" si="99"/>
        <v>0</v>
      </c>
    </row>
    <row r="821" spans="2:24" ht="78.75">
      <c r="B821" s="292"/>
      <c r="C821" s="292"/>
      <c r="D821" s="289"/>
      <c r="E821" s="277" t="s">
        <v>460</v>
      </c>
      <c r="F821" s="32">
        <v>449549</v>
      </c>
      <c r="G821" s="18">
        <f t="shared" si="98"/>
        <v>0.9906727631470652</v>
      </c>
      <c r="H821" s="242">
        <v>445355.95</v>
      </c>
      <c r="I821" s="259">
        <v>3132</v>
      </c>
      <c r="J821" s="9">
        <v>4193.05</v>
      </c>
      <c r="K821" s="49"/>
      <c r="L821" s="9">
        <v>4193.05</v>
      </c>
      <c r="M821" s="49"/>
      <c r="N821" s="49"/>
      <c r="O821" s="49"/>
      <c r="P821" s="49"/>
      <c r="Q821" s="49"/>
      <c r="R821" s="49"/>
      <c r="S821" s="49"/>
      <c r="T821" s="49"/>
      <c r="U821" s="49"/>
      <c r="V821" s="49"/>
      <c r="W821" s="49">
        <v>4193.05</v>
      </c>
      <c r="X821" s="40">
        <f t="shared" si="99"/>
        <v>0</v>
      </c>
    </row>
    <row r="822" spans="2:24" ht="78.75">
      <c r="B822" s="292"/>
      <c r="C822" s="292"/>
      <c r="D822" s="289"/>
      <c r="E822" s="277" t="s">
        <v>461</v>
      </c>
      <c r="F822" s="32">
        <v>318479</v>
      </c>
      <c r="G822" s="18">
        <f t="shared" si="98"/>
        <v>0.5308918641417488</v>
      </c>
      <c r="H822" s="242">
        <v>169077.91</v>
      </c>
      <c r="I822" s="259">
        <v>3132</v>
      </c>
      <c r="J822" s="9">
        <v>49960.56</v>
      </c>
      <c r="K822" s="49"/>
      <c r="L822" s="9">
        <v>49960.56</v>
      </c>
      <c r="M822" s="49"/>
      <c r="N822" s="49"/>
      <c r="O822" s="49"/>
      <c r="P822" s="49"/>
      <c r="Q822" s="49"/>
      <c r="R822" s="49"/>
      <c r="S822" s="49"/>
      <c r="T822" s="49"/>
      <c r="U822" s="49"/>
      <c r="V822" s="49"/>
      <c r="W822" s="49">
        <v>49960.56</v>
      </c>
      <c r="X822" s="40">
        <f t="shared" si="99"/>
        <v>0</v>
      </c>
    </row>
    <row r="823" spans="2:24" ht="63">
      <c r="B823" s="292"/>
      <c r="C823" s="292"/>
      <c r="D823" s="289"/>
      <c r="E823" s="277" t="s">
        <v>462</v>
      </c>
      <c r="F823" s="32">
        <v>129286</v>
      </c>
      <c r="G823" s="18">
        <f t="shared" si="98"/>
        <v>0.9240567424160389</v>
      </c>
      <c r="H823" s="242">
        <v>119467.6</v>
      </c>
      <c r="I823" s="259">
        <v>3132</v>
      </c>
      <c r="J823" s="9">
        <v>8949.6</v>
      </c>
      <c r="K823" s="49"/>
      <c r="L823" s="9">
        <v>8949.6</v>
      </c>
      <c r="M823" s="49"/>
      <c r="N823" s="49"/>
      <c r="O823" s="49"/>
      <c r="P823" s="49"/>
      <c r="Q823" s="49"/>
      <c r="R823" s="49"/>
      <c r="S823" s="49"/>
      <c r="T823" s="49"/>
      <c r="U823" s="49"/>
      <c r="V823" s="49"/>
      <c r="W823" s="49">
        <v>8949.6</v>
      </c>
      <c r="X823" s="40">
        <f t="shared" si="99"/>
        <v>0</v>
      </c>
    </row>
    <row r="824" spans="2:24" ht="63">
      <c r="B824" s="292"/>
      <c r="C824" s="292"/>
      <c r="D824" s="289"/>
      <c r="E824" s="12" t="s">
        <v>735</v>
      </c>
      <c r="F824" s="32"/>
      <c r="G824" s="18"/>
      <c r="H824" s="242"/>
      <c r="I824" s="259">
        <v>3132</v>
      </c>
      <c r="J824" s="9">
        <f>185000+700000</f>
        <v>885000</v>
      </c>
      <c r="K824" s="49"/>
      <c r="L824" s="49"/>
      <c r="M824" s="49"/>
      <c r="N824" s="49"/>
      <c r="O824" s="49"/>
      <c r="P824" s="49">
        <v>185000</v>
      </c>
      <c r="Q824" s="49"/>
      <c r="R824" s="49"/>
      <c r="S824" s="49"/>
      <c r="T824" s="49"/>
      <c r="U824" s="49">
        <v>700000</v>
      </c>
      <c r="V824" s="49"/>
      <c r="W824" s="49">
        <f>1583.97+61406.13</f>
        <v>62990.1</v>
      </c>
      <c r="X824" s="40">
        <f t="shared" si="99"/>
        <v>822009.9</v>
      </c>
    </row>
    <row r="825" spans="2:24" ht="31.5">
      <c r="B825" s="292"/>
      <c r="C825" s="292"/>
      <c r="D825" s="289"/>
      <c r="E825" s="12" t="s">
        <v>713</v>
      </c>
      <c r="F825" s="32"/>
      <c r="G825" s="18"/>
      <c r="H825" s="242"/>
      <c r="I825" s="259">
        <v>3142</v>
      </c>
      <c r="J825" s="9">
        <v>200000</v>
      </c>
      <c r="K825" s="49"/>
      <c r="L825" s="49"/>
      <c r="M825" s="49"/>
      <c r="N825" s="49"/>
      <c r="O825" s="49"/>
      <c r="P825" s="49"/>
      <c r="Q825" s="49"/>
      <c r="R825" s="49">
        <v>100000</v>
      </c>
      <c r="S825" s="49">
        <v>100000</v>
      </c>
      <c r="T825" s="49"/>
      <c r="U825" s="49"/>
      <c r="V825" s="49"/>
      <c r="W825" s="49">
        <f>36246.51</f>
        <v>36246.51</v>
      </c>
      <c r="X825" s="40">
        <f t="shared" si="99"/>
        <v>163753.49</v>
      </c>
    </row>
    <row r="826" spans="2:24" ht="31.5">
      <c r="B826" s="292"/>
      <c r="C826" s="292"/>
      <c r="D826" s="289"/>
      <c r="E826" s="130" t="s">
        <v>561</v>
      </c>
      <c r="F826" s="66">
        <v>8707339</v>
      </c>
      <c r="G826" s="18">
        <f aca="true" t="shared" si="102" ref="G826:G832">100%-((F826-H826)/F826)</f>
        <v>0.28290235053441704</v>
      </c>
      <c r="H826" s="218">
        <v>2463326.67</v>
      </c>
      <c r="I826" s="259">
        <v>3142</v>
      </c>
      <c r="J826" s="66">
        <f>2300000+3500000</f>
        <v>5800000</v>
      </c>
      <c r="K826" s="49"/>
      <c r="L826" s="49"/>
      <c r="M826" s="49"/>
      <c r="N826" s="49"/>
      <c r="O826" s="49"/>
      <c r="P826" s="49">
        <v>760000</v>
      </c>
      <c r="Q826" s="49">
        <v>760000</v>
      </c>
      <c r="R826" s="49">
        <f>780000+1750000</f>
        <v>2530000</v>
      </c>
      <c r="S826" s="49">
        <f>1750000</f>
        <v>1750000</v>
      </c>
      <c r="T826" s="49"/>
      <c r="U826" s="49"/>
      <c r="V826" s="49"/>
      <c r="W826" s="49">
        <f>12525.6+2063859+254576.44+2982</f>
        <v>2333943.04</v>
      </c>
      <c r="X826" s="40">
        <f t="shared" si="99"/>
        <v>3466056.96</v>
      </c>
    </row>
    <row r="827" spans="2:24" ht="63">
      <c r="B827" s="292"/>
      <c r="C827" s="292"/>
      <c r="D827" s="289"/>
      <c r="E827" s="130" t="s">
        <v>562</v>
      </c>
      <c r="F827" s="66">
        <v>7807134</v>
      </c>
      <c r="G827" s="18">
        <f t="shared" si="102"/>
        <v>0.14354670228537125</v>
      </c>
      <c r="H827" s="218">
        <v>1120688.34</v>
      </c>
      <c r="I827" s="259">
        <v>3142</v>
      </c>
      <c r="J827" s="66">
        <f>100000+1121000+315186.2</f>
        <v>1536186.2</v>
      </c>
      <c r="K827" s="49"/>
      <c r="L827" s="49"/>
      <c r="M827" s="49"/>
      <c r="N827" s="49"/>
      <c r="O827" s="49"/>
      <c r="P827" s="49">
        <v>30000</v>
      </c>
      <c r="Q827" s="49"/>
      <c r="R827" s="49">
        <v>70000</v>
      </c>
      <c r="S827" s="49">
        <v>1121000</v>
      </c>
      <c r="T827" s="49">
        <v>315186.2</v>
      </c>
      <c r="U827" s="49"/>
      <c r="V827" s="49"/>
      <c r="W827" s="49">
        <f>1040.4+118154.1-118154.1+118154.1+214630.8+1799.03+251417.1+1299.62+1479.16+810.98</f>
        <v>590631.1900000001</v>
      </c>
      <c r="X827" s="40">
        <f t="shared" si="99"/>
        <v>945555.0099999999</v>
      </c>
    </row>
    <row r="828" spans="2:24" ht="63">
      <c r="B828" s="292"/>
      <c r="C828" s="292"/>
      <c r="D828" s="289"/>
      <c r="E828" s="130" t="s">
        <v>563</v>
      </c>
      <c r="F828" s="66">
        <v>5551896</v>
      </c>
      <c r="G828" s="18">
        <f t="shared" si="102"/>
        <v>0.19599683783702004</v>
      </c>
      <c r="H828" s="218">
        <v>1088154.06</v>
      </c>
      <c r="I828" s="259">
        <v>3142</v>
      </c>
      <c r="J828" s="66">
        <f>100000+1481000-75719.8</f>
        <v>1505280.2</v>
      </c>
      <c r="K828" s="49"/>
      <c r="L828" s="49"/>
      <c r="M828" s="49"/>
      <c r="N828" s="49"/>
      <c r="O828" s="49"/>
      <c r="P828" s="49">
        <v>29000</v>
      </c>
      <c r="Q828" s="49"/>
      <c r="R828" s="49">
        <v>71000</v>
      </c>
      <c r="S828" s="49">
        <f>1481000-300000</f>
        <v>1181000</v>
      </c>
      <c r="T828" s="49">
        <v>-75719.8</v>
      </c>
      <c r="U828" s="49">
        <v>300000</v>
      </c>
      <c r="V828" s="49"/>
      <c r="W828" s="49">
        <f>1038+118724.46-118724.46+118724.46+493222.74+5131.21+133136.4+1016.74-11929.2+1479.16+43086+361.4</f>
        <v>785266.91</v>
      </c>
      <c r="X828" s="40">
        <f t="shared" si="99"/>
        <v>720013.2899999999</v>
      </c>
    </row>
    <row r="829" spans="2:24" ht="63">
      <c r="B829" s="292"/>
      <c r="C829" s="292"/>
      <c r="D829" s="289"/>
      <c r="E829" s="130" t="s">
        <v>464</v>
      </c>
      <c r="F829" s="66">
        <v>24072945</v>
      </c>
      <c r="G829" s="18">
        <f t="shared" si="102"/>
        <v>0.12326281433368458</v>
      </c>
      <c r="H829" s="218">
        <v>2967298.95</v>
      </c>
      <c r="I829" s="259">
        <v>3142</v>
      </c>
      <c r="J829" s="66">
        <f>100000+3641000+280130.6</f>
        <v>4021130.6</v>
      </c>
      <c r="K829" s="49"/>
      <c r="L829" s="49"/>
      <c r="M829" s="49"/>
      <c r="N829" s="49"/>
      <c r="O829" s="49"/>
      <c r="P829" s="49">
        <v>10000</v>
      </c>
      <c r="Q829" s="49"/>
      <c r="R829" s="49">
        <f>90000+1820500</f>
        <v>1910500</v>
      </c>
      <c r="S829" s="49">
        <f>1820500</f>
        <v>1820500</v>
      </c>
      <c r="T829" s="49">
        <v>280130.6</v>
      </c>
      <c r="U829" s="49"/>
      <c r="V829" s="49"/>
      <c r="W829" s="49">
        <f>1365.6+310558.86-310558.86+310558.86+215426.4+4028.87+84659.94+7389.56+2218.75</f>
        <v>625647.98</v>
      </c>
      <c r="X829" s="40">
        <f t="shared" si="99"/>
        <v>3395482.62</v>
      </c>
    </row>
    <row r="830" spans="2:24" ht="63">
      <c r="B830" s="292"/>
      <c r="C830" s="292"/>
      <c r="D830" s="289"/>
      <c r="E830" s="130" t="s">
        <v>684</v>
      </c>
      <c r="F830" s="66">
        <v>8315988</v>
      </c>
      <c r="G830" s="18">
        <f t="shared" si="102"/>
        <v>0.10770126772669708</v>
      </c>
      <c r="H830" s="218">
        <v>895642.45</v>
      </c>
      <c r="I830" s="259">
        <v>3142</v>
      </c>
      <c r="J830" s="66">
        <f>100000+1526000-431997.2</f>
        <v>1194002.8</v>
      </c>
      <c r="K830" s="49"/>
      <c r="L830" s="49"/>
      <c r="M830" s="49"/>
      <c r="N830" s="49"/>
      <c r="O830" s="49"/>
      <c r="P830" s="49">
        <v>55000</v>
      </c>
      <c r="Q830" s="49"/>
      <c r="R830" s="49">
        <v>45000</v>
      </c>
      <c r="S830" s="49">
        <v>1526000</v>
      </c>
      <c r="T830" s="49">
        <v>-431997.2</v>
      </c>
      <c r="U830" s="49"/>
      <c r="V830" s="49"/>
      <c r="W830" s="49">
        <f>1004.4+85848.54-85848.54+85848.54</f>
        <v>86852.93999999999</v>
      </c>
      <c r="X830" s="40">
        <f t="shared" si="99"/>
        <v>1107149.86</v>
      </c>
    </row>
    <row r="831" spans="2:24" ht="63">
      <c r="B831" s="292"/>
      <c r="C831" s="292"/>
      <c r="D831" s="289"/>
      <c r="E831" s="130" t="s">
        <v>463</v>
      </c>
      <c r="F831" s="66">
        <v>10896104</v>
      </c>
      <c r="G831" s="18">
        <f t="shared" si="102"/>
        <v>0.19864864909512614</v>
      </c>
      <c r="H831" s="218">
        <v>2164496.34</v>
      </c>
      <c r="I831" s="259">
        <v>3142</v>
      </c>
      <c r="J831" s="66">
        <f>100000+2000000+2241000-1282019.4</f>
        <v>3058980.6</v>
      </c>
      <c r="K831" s="49"/>
      <c r="L831" s="49"/>
      <c r="M831" s="49"/>
      <c r="N831" s="49"/>
      <c r="O831" s="49"/>
      <c r="P831" s="49">
        <v>20000</v>
      </c>
      <c r="Q831" s="49"/>
      <c r="R831" s="49">
        <f>80000+1000000</f>
        <v>1080000</v>
      </c>
      <c r="S831" s="49">
        <f>1000000+2241000</f>
        <v>3241000</v>
      </c>
      <c r="T831" s="49">
        <v>-1282019.4</v>
      </c>
      <c r="U831" s="49"/>
      <c r="V831" s="49"/>
      <c r="W831" s="49">
        <f>1239.6+259794.12-259794.12+259794.12+748603.08+8438.38</f>
        <v>1018075.1799999999</v>
      </c>
      <c r="X831" s="40">
        <f t="shared" si="99"/>
        <v>2040905.4200000002</v>
      </c>
    </row>
    <row r="832" spans="2:24" ht="63">
      <c r="B832" s="292"/>
      <c r="C832" s="292"/>
      <c r="D832" s="289"/>
      <c r="E832" s="130" t="s">
        <v>884</v>
      </c>
      <c r="F832" s="66">
        <v>12970218</v>
      </c>
      <c r="G832" s="18">
        <f t="shared" si="102"/>
        <v>0.1291613602793723</v>
      </c>
      <c r="H832" s="218">
        <v>1675251</v>
      </c>
      <c r="I832" s="259">
        <v>3142</v>
      </c>
      <c r="J832" s="66">
        <f>100000+2858000-765831.4</f>
        <v>2192168.6</v>
      </c>
      <c r="K832" s="49"/>
      <c r="L832" s="49"/>
      <c r="M832" s="49"/>
      <c r="N832" s="49"/>
      <c r="O832" s="49"/>
      <c r="P832" s="49">
        <v>20000</v>
      </c>
      <c r="Q832" s="49"/>
      <c r="R832" s="49">
        <f>80000+1429000</f>
        <v>1509000</v>
      </c>
      <c r="S832" s="49">
        <f>1429000</f>
        <v>1429000</v>
      </c>
      <c r="T832" s="49">
        <v>-765831.4</v>
      </c>
      <c r="U832" s="49"/>
      <c r="V832" s="49"/>
      <c r="W832" s="49">
        <f>1128+146217.48-146217.48+146217.48+179202+1502.3+2218.75</f>
        <v>330268.52999999997</v>
      </c>
      <c r="X832" s="40">
        <f t="shared" si="99"/>
        <v>1861900.07</v>
      </c>
    </row>
    <row r="833" spans="2:24" ht="31.5">
      <c r="B833" s="292"/>
      <c r="C833" s="292"/>
      <c r="D833" s="289"/>
      <c r="E833" s="130" t="s">
        <v>749</v>
      </c>
      <c r="F833" s="66">
        <v>51257653</v>
      </c>
      <c r="G833" s="18">
        <f t="shared" si="98"/>
        <v>0.992599153925366</v>
      </c>
      <c r="H833" s="218">
        <v>50878303</v>
      </c>
      <c r="I833" s="259">
        <v>3142</v>
      </c>
      <c r="J833" s="66">
        <v>200000</v>
      </c>
      <c r="K833" s="49"/>
      <c r="L833" s="49"/>
      <c r="M833" s="49"/>
      <c r="N833" s="49"/>
      <c r="O833" s="49"/>
      <c r="P833" s="49">
        <v>70000</v>
      </c>
      <c r="Q833" s="49"/>
      <c r="R833" s="49">
        <v>130000</v>
      </c>
      <c r="S833" s="49"/>
      <c r="T833" s="49"/>
      <c r="U833" s="49"/>
      <c r="V833" s="49"/>
      <c r="W833" s="49"/>
      <c r="X833" s="40">
        <f t="shared" si="99"/>
        <v>200000</v>
      </c>
    </row>
    <row r="834" spans="2:24" ht="31.5">
      <c r="B834" s="292"/>
      <c r="C834" s="292"/>
      <c r="D834" s="289"/>
      <c r="E834" s="130" t="s">
        <v>750</v>
      </c>
      <c r="F834" s="66">
        <v>5350936</v>
      </c>
      <c r="G834" s="18">
        <f t="shared" si="98"/>
        <v>0.925593578394509</v>
      </c>
      <c r="H834" s="218">
        <v>4952792</v>
      </c>
      <c r="I834" s="259">
        <v>3142</v>
      </c>
      <c r="J834" s="66">
        <f>200000+6957000-737670</f>
        <v>6419330</v>
      </c>
      <c r="K834" s="49"/>
      <c r="L834" s="49"/>
      <c r="M834" s="49"/>
      <c r="N834" s="49"/>
      <c r="O834" s="49"/>
      <c r="P834" s="49">
        <v>10000</v>
      </c>
      <c r="Q834" s="49"/>
      <c r="R834" s="49">
        <v>190000</v>
      </c>
      <c r="S834" s="49"/>
      <c r="T834" s="49">
        <v>6957000</v>
      </c>
      <c r="U834" s="49">
        <v>-737670</v>
      </c>
      <c r="V834" s="49"/>
      <c r="W834" s="49">
        <f>9087-5997+1281.6+2934883.5+1479.16</f>
        <v>2940734.2600000002</v>
      </c>
      <c r="X834" s="40">
        <f t="shared" si="99"/>
        <v>3478595.7399999998</v>
      </c>
    </row>
    <row r="835" spans="2:24" ht="47.25">
      <c r="B835" s="292"/>
      <c r="C835" s="292"/>
      <c r="D835" s="289"/>
      <c r="E835" s="130" t="s">
        <v>751</v>
      </c>
      <c r="F835" s="66">
        <v>21096</v>
      </c>
      <c r="G835" s="18">
        <f t="shared" si="98"/>
        <v>0.6111717861205916</v>
      </c>
      <c r="H835" s="218">
        <v>12893.28</v>
      </c>
      <c r="I835" s="259">
        <v>3122</v>
      </c>
      <c r="J835" s="66">
        <v>12893.28</v>
      </c>
      <c r="K835" s="49"/>
      <c r="L835" s="49"/>
      <c r="M835" s="49"/>
      <c r="N835" s="49"/>
      <c r="O835" s="49"/>
      <c r="P835" s="49"/>
      <c r="Q835" s="49"/>
      <c r="R835" s="49"/>
      <c r="S835" s="49">
        <v>12893.28</v>
      </c>
      <c r="T835" s="49"/>
      <c r="U835" s="49"/>
      <c r="V835" s="49"/>
      <c r="W835" s="49"/>
      <c r="X835" s="40">
        <f t="shared" si="99"/>
        <v>12893.28</v>
      </c>
    </row>
    <row r="836" spans="2:24" ht="47.25">
      <c r="B836" s="292"/>
      <c r="C836" s="292"/>
      <c r="D836" s="289"/>
      <c r="E836" s="130" t="s">
        <v>752</v>
      </c>
      <c r="F836" s="66">
        <v>121189</v>
      </c>
      <c r="G836" s="18">
        <f t="shared" si="98"/>
        <v>0.9489194563863057</v>
      </c>
      <c r="H836" s="218">
        <v>114998.6</v>
      </c>
      <c r="I836" s="259">
        <v>3122</v>
      </c>
      <c r="J836" s="66">
        <v>114998.6</v>
      </c>
      <c r="K836" s="49"/>
      <c r="L836" s="49"/>
      <c r="M836" s="49"/>
      <c r="N836" s="49"/>
      <c r="O836" s="49"/>
      <c r="P836" s="49"/>
      <c r="Q836" s="49">
        <v>60000</v>
      </c>
      <c r="R836" s="49">
        <v>54998.6</v>
      </c>
      <c r="S836" s="49"/>
      <c r="T836" s="49"/>
      <c r="U836" s="49"/>
      <c r="V836" s="49"/>
      <c r="W836" s="49"/>
      <c r="X836" s="40">
        <f t="shared" si="99"/>
        <v>114998.6</v>
      </c>
    </row>
    <row r="837" spans="2:24" ht="63">
      <c r="B837" s="292"/>
      <c r="C837" s="292"/>
      <c r="D837" s="289"/>
      <c r="E837" s="130" t="s">
        <v>753</v>
      </c>
      <c r="F837" s="66">
        <v>117496.73</v>
      </c>
      <c r="G837" s="18">
        <f t="shared" si="98"/>
        <v>1</v>
      </c>
      <c r="H837" s="218">
        <v>117496.73</v>
      </c>
      <c r="I837" s="259">
        <v>3122</v>
      </c>
      <c r="J837" s="66">
        <f>117496.73-62282-25000</f>
        <v>30214.729999999996</v>
      </c>
      <c r="K837" s="49"/>
      <c r="L837" s="49"/>
      <c r="M837" s="49"/>
      <c r="N837" s="49"/>
      <c r="O837" s="49"/>
      <c r="P837" s="49"/>
      <c r="Q837" s="49">
        <v>60000</v>
      </c>
      <c r="R837" s="49">
        <v>57496.73</v>
      </c>
      <c r="S837" s="49"/>
      <c r="T837" s="49"/>
      <c r="U837" s="49">
        <f>-62282-25000</f>
        <v>-87282</v>
      </c>
      <c r="V837" s="49"/>
      <c r="W837" s="49"/>
      <c r="X837" s="40">
        <f t="shared" si="99"/>
        <v>30214.729999999996</v>
      </c>
    </row>
    <row r="838" spans="2:24" ht="31.5">
      <c r="B838" s="292"/>
      <c r="C838" s="292"/>
      <c r="D838" s="289"/>
      <c r="E838" s="130" t="s">
        <v>763</v>
      </c>
      <c r="F838" s="66">
        <v>320536</v>
      </c>
      <c r="G838" s="18">
        <f t="shared" si="98"/>
        <v>0.9690393590735518</v>
      </c>
      <c r="H838" s="218">
        <v>310612</v>
      </c>
      <c r="I838" s="259">
        <v>3122</v>
      </c>
      <c r="J838" s="66">
        <f>310611.39-10000</f>
        <v>300611.39</v>
      </c>
      <c r="K838" s="49"/>
      <c r="L838" s="49"/>
      <c r="M838" s="49"/>
      <c r="N838" s="49"/>
      <c r="O838" s="49"/>
      <c r="P838" s="49">
        <v>155000</v>
      </c>
      <c r="Q838" s="49">
        <v>155611.39</v>
      </c>
      <c r="R838" s="49"/>
      <c r="S838" s="49"/>
      <c r="T838" s="49"/>
      <c r="U838" s="49">
        <v>-10000</v>
      </c>
      <c r="V838" s="49"/>
      <c r="W838" s="49">
        <f>146584.2+151215.36+852</f>
        <v>298651.56</v>
      </c>
      <c r="X838" s="40">
        <f t="shared" si="99"/>
        <v>1959.8300000000163</v>
      </c>
    </row>
    <row r="839" spans="2:24" ht="63">
      <c r="B839" s="292"/>
      <c r="C839" s="292"/>
      <c r="D839" s="289"/>
      <c r="E839" s="130" t="s">
        <v>718</v>
      </c>
      <c r="F839" s="66">
        <v>4565810</v>
      </c>
      <c r="G839" s="18">
        <f t="shared" si="98"/>
        <v>0.5551377389773118</v>
      </c>
      <c r="H839" s="218">
        <v>2534653.44</v>
      </c>
      <c r="I839" s="259">
        <v>3142</v>
      </c>
      <c r="J839" s="66">
        <f>100000+1960251</f>
        <v>2060251</v>
      </c>
      <c r="K839" s="49"/>
      <c r="L839" s="49"/>
      <c r="M839" s="49"/>
      <c r="N839" s="49"/>
      <c r="O839" s="49"/>
      <c r="P839" s="49">
        <v>30000</v>
      </c>
      <c r="Q839" s="49"/>
      <c r="R839" s="49">
        <v>70000</v>
      </c>
      <c r="S839" s="49"/>
      <c r="T839" s="49">
        <v>1960251</v>
      </c>
      <c r="U839" s="49"/>
      <c r="V839" s="49"/>
      <c r="W839" s="49">
        <v>1334.4</v>
      </c>
      <c r="X839" s="40">
        <f t="shared" si="99"/>
        <v>2058916.6</v>
      </c>
    </row>
    <row r="840" spans="2:24" ht="63">
      <c r="B840" s="292"/>
      <c r="C840" s="292"/>
      <c r="D840" s="289"/>
      <c r="E840" s="130" t="s">
        <v>729</v>
      </c>
      <c r="F840" s="66"/>
      <c r="G840" s="18"/>
      <c r="H840" s="218"/>
      <c r="I840" s="259">
        <v>3132</v>
      </c>
      <c r="J840" s="66">
        <v>11780</v>
      </c>
      <c r="K840" s="49"/>
      <c r="L840" s="49"/>
      <c r="M840" s="49"/>
      <c r="N840" s="49"/>
      <c r="O840" s="49">
        <v>11780</v>
      </c>
      <c r="P840" s="49"/>
      <c r="Q840" s="49"/>
      <c r="R840" s="49"/>
      <c r="S840" s="49"/>
      <c r="T840" s="49"/>
      <c r="U840" s="49"/>
      <c r="V840" s="49"/>
      <c r="W840" s="49"/>
      <c r="X840" s="40">
        <f t="shared" si="99"/>
        <v>11780</v>
      </c>
    </row>
    <row r="841" spans="2:24" ht="78.75">
      <c r="B841" s="292"/>
      <c r="C841" s="292"/>
      <c r="D841" s="289"/>
      <c r="E841" s="130" t="s">
        <v>94</v>
      </c>
      <c r="F841" s="66">
        <v>363762</v>
      </c>
      <c r="G841" s="18">
        <f t="shared" si="98"/>
        <v>0.9676656715104931</v>
      </c>
      <c r="H841" s="218">
        <v>352000</v>
      </c>
      <c r="I841" s="259">
        <v>3132</v>
      </c>
      <c r="J841" s="66">
        <v>352000</v>
      </c>
      <c r="K841" s="49"/>
      <c r="L841" s="49"/>
      <c r="M841" s="49"/>
      <c r="N841" s="49"/>
      <c r="O841" s="49"/>
      <c r="P841" s="49">
        <v>200000</v>
      </c>
      <c r="Q841" s="49">
        <v>152000</v>
      </c>
      <c r="R841" s="49"/>
      <c r="S841" s="49"/>
      <c r="T841" s="49"/>
      <c r="U841" s="49"/>
      <c r="V841" s="49"/>
      <c r="W841" s="49">
        <f>168677+164978+5391.71+1109</f>
        <v>340155.71</v>
      </c>
      <c r="X841" s="40">
        <f t="shared" si="99"/>
        <v>11844.289999999979</v>
      </c>
    </row>
    <row r="842" spans="2:24" ht="63">
      <c r="B842" s="292"/>
      <c r="C842" s="292"/>
      <c r="D842" s="289"/>
      <c r="E842" s="130" t="s">
        <v>95</v>
      </c>
      <c r="F842" s="66">
        <v>400650</v>
      </c>
      <c r="G842" s="18">
        <f t="shared" si="98"/>
        <v>0.3076668913016348</v>
      </c>
      <c r="H842" s="218">
        <v>123266.74</v>
      </c>
      <c r="I842" s="259">
        <v>3132</v>
      </c>
      <c r="J842" s="76">
        <v>123266.74</v>
      </c>
      <c r="K842" s="49"/>
      <c r="L842" s="49"/>
      <c r="M842" s="49"/>
      <c r="N842" s="49"/>
      <c r="O842" s="49"/>
      <c r="P842" s="49">
        <v>123266.74</v>
      </c>
      <c r="Q842" s="49"/>
      <c r="R842" s="49"/>
      <c r="S842" s="49"/>
      <c r="T842" s="49"/>
      <c r="U842" s="49"/>
      <c r="V842" s="49"/>
      <c r="W842" s="49">
        <f>54847.2+36835.2+1415.57+852+17566.8</f>
        <v>111516.77</v>
      </c>
      <c r="X842" s="40">
        <f t="shared" si="99"/>
        <v>11749.970000000001</v>
      </c>
    </row>
    <row r="843" spans="2:24" ht="63">
      <c r="B843" s="292"/>
      <c r="C843" s="292"/>
      <c r="D843" s="289"/>
      <c r="E843" s="130" t="s">
        <v>419</v>
      </c>
      <c r="F843" s="66">
        <v>766000</v>
      </c>
      <c r="G843" s="18">
        <f>100%-((F843-H843)/F843)</f>
        <v>1</v>
      </c>
      <c r="H843" s="218">
        <v>766000</v>
      </c>
      <c r="I843" s="259">
        <v>3142</v>
      </c>
      <c r="J843" s="66">
        <f>416000+735906</f>
        <v>1151906</v>
      </c>
      <c r="K843" s="49"/>
      <c r="L843" s="49"/>
      <c r="M843" s="49"/>
      <c r="N843" s="49"/>
      <c r="O843" s="49">
        <v>20000</v>
      </c>
      <c r="P843" s="49">
        <v>200000</v>
      </c>
      <c r="Q843" s="49">
        <v>100000</v>
      </c>
      <c r="R843" s="49">
        <f>96000+367953</f>
        <v>463953</v>
      </c>
      <c r="S843" s="49">
        <f>367953</f>
        <v>367953</v>
      </c>
      <c r="T843" s="49"/>
      <c r="U843" s="49"/>
      <c r="V843" s="49"/>
      <c r="W843" s="49">
        <f>14777+174875+355039.6+349749.6+5253.39+7592.49+2207.4+539.81+137427.32+1775</f>
        <v>1049236.61</v>
      </c>
      <c r="X843" s="40">
        <f t="shared" si="99"/>
        <v>102669.3899999999</v>
      </c>
    </row>
    <row r="844" spans="2:24" ht="63">
      <c r="B844" s="292"/>
      <c r="C844" s="292"/>
      <c r="D844" s="289"/>
      <c r="E844" s="130" t="s">
        <v>697</v>
      </c>
      <c r="F844" s="66">
        <v>111422</v>
      </c>
      <c r="G844" s="18">
        <f t="shared" si="98"/>
        <v>0.07303126851070696</v>
      </c>
      <c r="H844" s="218">
        <v>8137.29</v>
      </c>
      <c r="I844" s="259">
        <v>3142</v>
      </c>
      <c r="J844" s="76">
        <v>8137.29</v>
      </c>
      <c r="K844" s="49"/>
      <c r="L844" s="49"/>
      <c r="M844" s="49"/>
      <c r="N844" s="49"/>
      <c r="O844" s="49">
        <v>8137.29</v>
      </c>
      <c r="P844" s="49"/>
      <c r="Q844" s="49"/>
      <c r="R844" s="49"/>
      <c r="S844" s="49"/>
      <c r="T844" s="49"/>
      <c r="U844" s="49"/>
      <c r="V844" s="49"/>
      <c r="W844" s="49"/>
      <c r="X844" s="40">
        <f t="shared" si="99"/>
        <v>8137.29</v>
      </c>
    </row>
    <row r="845" spans="2:24" ht="63">
      <c r="B845" s="292"/>
      <c r="C845" s="292"/>
      <c r="D845" s="289"/>
      <c r="E845" s="130" t="s">
        <v>420</v>
      </c>
      <c r="F845" s="66">
        <v>132126</v>
      </c>
      <c r="G845" s="18">
        <f t="shared" si="98"/>
        <v>0.3766508484325568</v>
      </c>
      <c r="H845" s="218">
        <v>49765.37</v>
      </c>
      <c r="I845" s="259">
        <v>3142</v>
      </c>
      <c r="J845" s="76">
        <v>49765.37</v>
      </c>
      <c r="K845" s="49"/>
      <c r="L845" s="49"/>
      <c r="M845" s="49"/>
      <c r="N845" s="49"/>
      <c r="O845" s="49">
        <v>49765.37</v>
      </c>
      <c r="P845" s="49"/>
      <c r="Q845" s="49"/>
      <c r="R845" s="49"/>
      <c r="S845" s="49"/>
      <c r="T845" s="49"/>
      <c r="U845" s="49"/>
      <c r="V845" s="49"/>
      <c r="W845" s="49"/>
      <c r="X845" s="40">
        <f t="shared" si="99"/>
        <v>49765.37</v>
      </c>
    </row>
    <row r="846" spans="2:24" ht="63">
      <c r="B846" s="292"/>
      <c r="C846" s="292"/>
      <c r="D846" s="289"/>
      <c r="E846" s="130" t="s">
        <v>665</v>
      </c>
      <c r="F846" s="66">
        <v>318479</v>
      </c>
      <c r="G846" s="18">
        <f t="shared" si="98"/>
        <v>0.6931557810719073</v>
      </c>
      <c r="H846" s="218">
        <v>220755.56</v>
      </c>
      <c r="I846" s="259">
        <v>3132</v>
      </c>
      <c r="J846" s="76">
        <f>220755.56+70000</f>
        <v>290755.56</v>
      </c>
      <c r="K846" s="49"/>
      <c r="L846" s="49"/>
      <c r="M846" s="49"/>
      <c r="N846" s="49"/>
      <c r="O846" s="49">
        <v>100000</v>
      </c>
      <c r="P846" s="49">
        <v>120755.56</v>
      </c>
      <c r="Q846" s="49"/>
      <c r="R846" s="49"/>
      <c r="S846" s="49"/>
      <c r="T846" s="49"/>
      <c r="U846" s="49">
        <v>70000</v>
      </c>
      <c r="V846" s="49"/>
      <c r="W846" s="49">
        <f>129808.8+1650.23+426</f>
        <v>131885.03</v>
      </c>
      <c r="X846" s="40">
        <f t="shared" si="99"/>
        <v>158870.53</v>
      </c>
    </row>
    <row r="847" spans="2:24" ht="47.25">
      <c r="B847" s="292"/>
      <c r="C847" s="292"/>
      <c r="D847" s="289"/>
      <c r="E847" s="130" t="s">
        <v>435</v>
      </c>
      <c r="F847" s="66">
        <v>117808</v>
      </c>
      <c r="G847" s="18">
        <f t="shared" si="98"/>
        <v>0.932150617954638</v>
      </c>
      <c r="H847" s="218">
        <v>109814.8</v>
      </c>
      <c r="I847" s="259">
        <v>3132</v>
      </c>
      <c r="J847" s="76">
        <v>109814.8</v>
      </c>
      <c r="K847" s="49"/>
      <c r="L847" s="49"/>
      <c r="M847" s="49"/>
      <c r="N847" s="49"/>
      <c r="O847" s="49"/>
      <c r="P847" s="49">
        <v>90000</v>
      </c>
      <c r="Q847" s="49">
        <v>19814.8</v>
      </c>
      <c r="R847" s="49"/>
      <c r="S847" s="49"/>
      <c r="T847" s="49"/>
      <c r="U847" s="49"/>
      <c r="V847" s="49"/>
      <c r="W847" s="49"/>
      <c r="X847" s="40">
        <f t="shared" si="99"/>
        <v>109814.8</v>
      </c>
    </row>
    <row r="848" spans="2:24" ht="63">
      <c r="B848" s="292"/>
      <c r="C848" s="292"/>
      <c r="D848" s="289"/>
      <c r="E848" s="130" t="s">
        <v>465</v>
      </c>
      <c r="F848" s="66">
        <v>589979</v>
      </c>
      <c r="G848" s="18">
        <f t="shared" si="98"/>
        <v>0.6984312661976104</v>
      </c>
      <c r="H848" s="218">
        <v>412059.78</v>
      </c>
      <c r="I848" s="259">
        <v>3132</v>
      </c>
      <c r="J848" s="76">
        <f>412059.78+100000+53000</f>
        <v>565059.78</v>
      </c>
      <c r="K848" s="49"/>
      <c r="L848" s="49"/>
      <c r="M848" s="49"/>
      <c r="N848" s="49"/>
      <c r="O848" s="49">
        <v>100000</v>
      </c>
      <c r="P848" s="49">
        <v>200000</v>
      </c>
      <c r="Q848" s="49">
        <v>112059.78</v>
      </c>
      <c r="R848" s="49"/>
      <c r="S848" s="49"/>
      <c r="T848" s="49"/>
      <c r="U848" s="49">
        <v>100000</v>
      </c>
      <c r="V848" s="49">
        <v>53000</v>
      </c>
      <c r="W848" s="49">
        <f>200655.6+852+262472.4+5971.65</f>
        <v>469951.65</v>
      </c>
      <c r="X848" s="40">
        <f t="shared" si="99"/>
        <v>95108.13</v>
      </c>
    </row>
    <row r="849" spans="2:24" ht="78.75">
      <c r="B849" s="292"/>
      <c r="C849" s="292"/>
      <c r="D849" s="289"/>
      <c r="E849" s="130" t="s">
        <v>945</v>
      </c>
      <c r="F849" s="66">
        <v>134000</v>
      </c>
      <c r="G849" s="18">
        <f aca="true" t="shared" si="103" ref="G849:G856">100%-((F849-H849)/F849)</f>
        <v>1</v>
      </c>
      <c r="H849" s="218">
        <v>134000</v>
      </c>
      <c r="I849" s="259">
        <v>3142</v>
      </c>
      <c r="J849" s="66">
        <f>134000+320000</f>
        <v>454000</v>
      </c>
      <c r="K849" s="49"/>
      <c r="L849" s="49"/>
      <c r="M849" s="49"/>
      <c r="N849" s="49"/>
      <c r="O849" s="49"/>
      <c r="P849" s="49"/>
      <c r="Q849" s="49">
        <v>30000</v>
      </c>
      <c r="R849" s="49">
        <v>50000</v>
      </c>
      <c r="S849" s="49">
        <v>54000</v>
      </c>
      <c r="T849" s="49"/>
      <c r="U849" s="49">
        <v>320000</v>
      </c>
      <c r="V849" s="49"/>
      <c r="W849" s="49">
        <f>4785.73+1033.3+2015.02+2015.02-2015.02</f>
        <v>7834.049999999999</v>
      </c>
      <c r="X849" s="40">
        <f t="shared" si="99"/>
        <v>446165.95</v>
      </c>
    </row>
    <row r="850" spans="2:24" ht="63" hidden="1">
      <c r="B850" s="292"/>
      <c r="C850" s="292"/>
      <c r="D850" s="289"/>
      <c r="E850" s="130" t="s">
        <v>946</v>
      </c>
      <c r="F850" s="66">
        <v>979985</v>
      </c>
      <c r="G850" s="18">
        <f t="shared" si="103"/>
        <v>0.08163390255973302</v>
      </c>
      <c r="H850" s="218">
        <v>80000</v>
      </c>
      <c r="I850" s="259">
        <v>3132</v>
      </c>
      <c r="J850" s="66">
        <f>80000-80000</f>
        <v>0</v>
      </c>
      <c r="K850" s="49"/>
      <c r="L850" s="49"/>
      <c r="M850" s="49"/>
      <c r="N850" s="49"/>
      <c r="O850" s="49"/>
      <c r="P850" s="49">
        <v>80000</v>
      </c>
      <c r="Q850" s="49"/>
      <c r="R850" s="49"/>
      <c r="S850" s="49"/>
      <c r="T850" s="49"/>
      <c r="U850" s="49">
        <v>-80000</v>
      </c>
      <c r="V850" s="49"/>
      <c r="W850" s="49"/>
      <c r="X850" s="40">
        <f t="shared" si="99"/>
        <v>0</v>
      </c>
    </row>
    <row r="851" spans="2:24" ht="63">
      <c r="B851" s="292"/>
      <c r="C851" s="292"/>
      <c r="D851" s="289"/>
      <c r="E851" s="130" t="s">
        <v>950</v>
      </c>
      <c r="F851" s="66">
        <v>244666</v>
      </c>
      <c r="G851" s="18">
        <f t="shared" si="103"/>
        <v>0.18392420687794786</v>
      </c>
      <c r="H851" s="218">
        <v>45000</v>
      </c>
      <c r="I851" s="259">
        <v>3132</v>
      </c>
      <c r="J851" s="66">
        <f>45000-3000</f>
        <v>42000</v>
      </c>
      <c r="K851" s="49"/>
      <c r="L851" s="49"/>
      <c r="M851" s="49"/>
      <c r="N851" s="49"/>
      <c r="O851" s="49">
        <v>15000</v>
      </c>
      <c r="P851" s="49">
        <v>-3000</v>
      </c>
      <c r="Q851" s="49">
        <v>30000</v>
      </c>
      <c r="R851" s="49"/>
      <c r="S851" s="49"/>
      <c r="T851" s="49"/>
      <c r="U851" s="49"/>
      <c r="V851" s="49"/>
      <c r="W851" s="49">
        <f>554.69</f>
        <v>554.69</v>
      </c>
      <c r="X851" s="40">
        <f t="shared" si="99"/>
        <v>41445.31</v>
      </c>
    </row>
    <row r="852" spans="2:24" ht="78.75">
      <c r="B852" s="292"/>
      <c r="C852" s="292"/>
      <c r="D852" s="289"/>
      <c r="E852" s="130" t="s">
        <v>804</v>
      </c>
      <c r="F852" s="66">
        <v>1050150</v>
      </c>
      <c r="G852" s="18">
        <f t="shared" si="103"/>
        <v>0.789913440937009</v>
      </c>
      <c r="H852" s="218">
        <v>829527.6</v>
      </c>
      <c r="I852" s="259">
        <v>3132</v>
      </c>
      <c r="J852" s="66">
        <f>753000-743000+230000+538282</f>
        <v>778282</v>
      </c>
      <c r="K852" s="49"/>
      <c r="L852" s="49"/>
      <c r="M852" s="49"/>
      <c r="N852" s="49"/>
      <c r="O852" s="49"/>
      <c r="P852" s="49">
        <v>10000</v>
      </c>
      <c r="Q852" s="49"/>
      <c r="R852" s="49"/>
      <c r="S852" s="49">
        <v>230000</v>
      </c>
      <c r="T852" s="49"/>
      <c r="U852" s="49">
        <v>538282</v>
      </c>
      <c r="V852" s="49"/>
      <c r="W852" s="49">
        <f>115000+223324.5+312560.5+42457.83+2662</f>
        <v>696004.83</v>
      </c>
      <c r="X852" s="40">
        <f t="shared" si="99"/>
        <v>82277.17000000004</v>
      </c>
    </row>
    <row r="853" spans="2:24" ht="63">
      <c r="B853" s="292"/>
      <c r="C853" s="292"/>
      <c r="D853" s="289"/>
      <c r="E853" s="130" t="s">
        <v>667</v>
      </c>
      <c r="F853" s="66">
        <v>148000</v>
      </c>
      <c r="G853" s="18">
        <f t="shared" si="103"/>
        <v>1</v>
      </c>
      <c r="H853" s="218">
        <v>148000</v>
      </c>
      <c r="I853" s="259">
        <v>3132</v>
      </c>
      <c r="J853" s="66">
        <f>148000+50000</f>
        <v>198000</v>
      </c>
      <c r="K853" s="49"/>
      <c r="L853" s="49"/>
      <c r="M853" s="49"/>
      <c r="N853" s="49"/>
      <c r="O853" s="49">
        <v>50000</v>
      </c>
      <c r="P853" s="49">
        <v>50000</v>
      </c>
      <c r="Q853" s="49">
        <v>48000</v>
      </c>
      <c r="R853" s="49"/>
      <c r="S853" s="49">
        <v>50000</v>
      </c>
      <c r="T853" s="49"/>
      <c r="U853" s="49"/>
      <c r="V853" s="49"/>
      <c r="W853" s="49">
        <f>75342+87058+2772.48+1479.17+1194</f>
        <v>167845.65000000002</v>
      </c>
      <c r="X853" s="40">
        <f t="shared" si="99"/>
        <v>30154.349999999977</v>
      </c>
    </row>
    <row r="854" spans="2:24" ht="63">
      <c r="B854" s="292"/>
      <c r="C854" s="292"/>
      <c r="D854" s="289"/>
      <c r="E854" s="130" t="s">
        <v>466</v>
      </c>
      <c r="F854" s="66">
        <v>133097</v>
      </c>
      <c r="G854" s="18">
        <f t="shared" si="103"/>
        <v>0.9937961787267933</v>
      </c>
      <c r="H854" s="218">
        <v>132271.29</v>
      </c>
      <c r="I854" s="259">
        <v>3132</v>
      </c>
      <c r="J854" s="66">
        <f>125500+35000</f>
        <v>160500</v>
      </c>
      <c r="K854" s="49"/>
      <c r="L854" s="49"/>
      <c r="M854" s="49"/>
      <c r="N854" s="49"/>
      <c r="O854" s="49"/>
      <c r="P854" s="49">
        <v>87850</v>
      </c>
      <c r="Q854" s="49">
        <v>37650</v>
      </c>
      <c r="R854" s="49"/>
      <c r="S854" s="49">
        <v>35000</v>
      </c>
      <c r="T854" s="49"/>
      <c r="U854" s="49"/>
      <c r="V854" s="49"/>
      <c r="W854" s="49">
        <f>452.29</f>
        <v>452.29</v>
      </c>
      <c r="X854" s="40">
        <f t="shared" si="99"/>
        <v>160047.71</v>
      </c>
    </row>
    <row r="855" spans="2:24" ht="47.25">
      <c r="B855" s="292"/>
      <c r="C855" s="292"/>
      <c r="D855" s="289"/>
      <c r="E855" s="130" t="s">
        <v>457</v>
      </c>
      <c r="F855" s="66">
        <v>273003</v>
      </c>
      <c r="G855" s="18">
        <f t="shared" si="103"/>
        <v>0.999989011109768</v>
      </c>
      <c r="H855" s="218">
        <v>273000</v>
      </c>
      <c r="I855" s="259">
        <v>3142</v>
      </c>
      <c r="J855" s="66">
        <v>273000</v>
      </c>
      <c r="K855" s="49"/>
      <c r="L855" s="49"/>
      <c r="M855" s="49"/>
      <c r="N855" s="49"/>
      <c r="O855" s="49">
        <v>90000</v>
      </c>
      <c r="P855" s="49">
        <v>90000</v>
      </c>
      <c r="Q855" s="49">
        <v>93000</v>
      </c>
      <c r="R855" s="49"/>
      <c r="S855" s="49"/>
      <c r="T855" s="49"/>
      <c r="U855" s="49"/>
      <c r="V855" s="49"/>
      <c r="W855" s="49">
        <f>122436.5+118554.5+3568+3957.43+1479</f>
        <v>249995.43</v>
      </c>
      <c r="X855" s="40">
        <f aca="true" t="shared" si="104" ref="X855:X918">J855-W855</f>
        <v>23004.570000000007</v>
      </c>
    </row>
    <row r="856" spans="2:24" ht="63">
      <c r="B856" s="292"/>
      <c r="C856" s="292"/>
      <c r="D856" s="289"/>
      <c r="E856" s="130" t="s">
        <v>638</v>
      </c>
      <c r="F856" s="66">
        <v>475000</v>
      </c>
      <c r="G856" s="133">
        <f t="shared" si="103"/>
        <v>0.99116</v>
      </c>
      <c r="H856" s="218">
        <v>470801</v>
      </c>
      <c r="I856" s="259">
        <v>3132</v>
      </c>
      <c r="J856" s="66">
        <f>2100+470000</f>
        <v>472100</v>
      </c>
      <c r="K856" s="49"/>
      <c r="L856" s="49"/>
      <c r="M856" s="49"/>
      <c r="N856" s="49"/>
      <c r="O856" s="49">
        <v>2100</v>
      </c>
      <c r="P856" s="49"/>
      <c r="Q856" s="49"/>
      <c r="R856" s="49"/>
      <c r="S856" s="49">
        <v>470000</v>
      </c>
      <c r="T856" s="49"/>
      <c r="U856" s="49"/>
      <c r="V856" s="49"/>
      <c r="W856" s="49">
        <f>2051.95+226060+233314.52+1479</f>
        <v>462905.47</v>
      </c>
      <c r="X856" s="40">
        <f t="shared" si="104"/>
        <v>9194.530000000028</v>
      </c>
    </row>
    <row r="857" spans="2:24" ht="31.5">
      <c r="B857" s="292"/>
      <c r="C857" s="292"/>
      <c r="D857" s="289"/>
      <c r="E857" s="130" t="s">
        <v>207</v>
      </c>
      <c r="F857" s="66"/>
      <c r="G857" s="133"/>
      <c r="H857" s="218"/>
      <c r="I857" s="259">
        <v>3132</v>
      </c>
      <c r="J857" s="66">
        <v>300000</v>
      </c>
      <c r="K857" s="49"/>
      <c r="L857" s="49"/>
      <c r="M857" s="49"/>
      <c r="N857" s="49"/>
      <c r="O857" s="49"/>
      <c r="P857" s="49"/>
      <c r="Q857" s="49">
        <v>100000</v>
      </c>
      <c r="R857" s="49">
        <v>100000</v>
      </c>
      <c r="S857" s="49">
        <v>100000</v>
      </c>
      <c r="T857" s="49"/>
      <c r="U857" s="49"/>
      <c r="V857" s="49"/>
      <c r="W857" s="49">
        <f>48143.1+5904</f>
        <v>54047.1</v>
      </c>
      <c r="X857" s="40">
        <f t="shared" si="104"/>
        <v>245952.9</v>
      </c>
    </row>
    <row r="858" spans="2:24" ht="63">
      <c r="B858" s="292"/>
      <c r="C858" s="292"/>
      <c r="D858" s="289"/>
      <c r="E858" s="134" t="s">
        <v>190</v>
      </c>
      <c r="F858" s="49"/>
      <c r="G858" s="129"/>
      <c r="H858" s="220"/>
      <c r="I858" s="259">
        <v>3122</v>
      </c>
      <c r="J858" s="21">
        <v>380000</v>
      </c>
      <c r="K858" s="49"/>
      <c r="L858" s="49"/>
      <c r="M858" s="49"/>
      <c r="N858" s="49"/>
      <c r="O858" s="49"/>
      <c r="P858" s="49"/>
      <c r="Q858" s="49">
        <v>50000</v>
      </c>
      <c r="R858" s="49">
        <v>110000</v>
      </c>
      <c r="S858" s="49">
        <v>110000</v>
      </c>
      <c r="T858" s="49">
        <v>110000</v>
      </c>
      <c r="U858" s="49"/>
      <c r="V858" s="49"/>
      <c r="W858" s="49"/>
      <c r="X858" s="40">
        <f t="shared" si="104"/>
        <v>380000</v>
      </c>
    </row>
    <row r="859" spans="2:24" ht="15.75">
      <c r="B859" s="302" t="s">
        <v>483</v>
      </c>
      <c r="C859" s="302" t="s">
        <v>297</v>
      </c>
      <c r="D859" s="288" t="s">
        <v>698</v>
      </c>
      <c r="E859" s="12"/>
      <c r="F859" s="32"/>
      <c r="G859" s="18"/>
      <c r="H859" s="242"/>
      <c r="I859" s="259"/>
      <c r="J859" s="210">
        <f>J860</f>
        <v>285000</v>
      </c>
      <c r="K859" s="210">
        <f aca="true" t="shared" si="105" ref="K859:W859">K860</f>
        <v>0</v>
      </c>
      <c r="L859" s="210">
        <f t="shared" si="105"/>
        <v>0</v>
      </c>
      <c r="M859" s="210">
        <f t="shared" si="105"/>
        <v>0</v>
      </c>
      <c r="N859" s="210">
        <f t="shared" si="105"/>
        <v>0</v>
      </c>
      <c r="O859" s="210">
        <f t="shared" si="105"/>
        <v>95000</v>
      </c>
      <c r="P859" s="210">
        <f t="shared" si="105"/>
        <v>180000</v>
      </c>
      <c r="Q859" s="210">
        <f t="shared" si="105"/>
        <v>100000</v>
      </c>
      <c r="R859" s="210">
        <f t="shared" si="105"/>
        <v>-90000</v>
      </c>
      <c r="S859" s="210">
        <f t="shared" si="105"/>
        <v>0</v>
      </c>
      <c r="T859" s="210">
        <f t="shared" si="105"/>
        <v>0</v>
      </c>
      <c r="U859" s="210">
        <f t="shared" si="105"/>
        <v>0</v>
      </c>
      <c r="V859" s="210">
        <f t="shared" si="105"/>
        <v>0</v>
      </c>
      <c r="W859" s="210">
        <f t="shared" si="105"/>
        <v>0</v>
      </c>
      <c r="X859" s="184">
        <f t="shared" si="104"/>
        <v>285000</v>
      </c>
    </row>
    <row r="860" spans="2:24" ht="31.5">
      <c r="B860" s="308"/>
      <c r="C860" s="308"/>
      <c r="D860" s="289"/>
      <c r="E860" s="135" t="s">
        <v>191</v>
      </c>
      <c r="F860" s="32"/>
      <c r="G860" s="18"/>
      <c r="H860" s="242"/>
      <c r="I860" s="259"/>
      <c r="J860" s="26">
        <f>SUM(J861:J863)</f>
        <v>285000</v>
      </c>
      <c r="K860" s="26">
        <f aca="true" t="shared" si="106" ref="K860:W860">SUM(K861:K863)</f>
        <v>0</v>
      </c>
      <c r="L860" s="26">
        <f t="shared" si="106"/>
        <v>0</v>
      </c>
      <c r="M860" s="26">
        <f t="shared" si="106"/>
        <v>0</v>
      </c>
      <c r="N860" s="26">
        <f t="shared" si="106"/>
        <v>0</v>
      </c>
      <c r="O860" s="26">
        <f t="shared" si="106"/>
        <v>95000</v>
      </c>
      <c r="P860" s="26">
        <f t="shared" si="106"/>
        <v>180000</v>
      </c>
      <c r="Q860" s="26">
        <f t="shared" si="106"/>
        <v>100000</v>
      </c>
      <c r="R860" s="26">
        <f t="shared" si="106"/>
        <v>-90000</v>
      </c>
      <c r="S860" s="26">
        <f t="shared" si="106"/>
        <v>0</v>
      </c>
      <c r="T860" s="26">
        <f t="shared" si="106"/>
        <v>0</v>
      </c>
      <c r="U860" s="26">
        <f t="shared" si="106"/>
        <v>0</v>
      </c>
      <c r="V860" s="26">
        <f t="shared" si="106"/>
        <v>0</v>
      </c>
      <c r="W860" s="26">
        <f t="shared" si="106"/>
        <v>0</v>
      </c>
      <c r="X860" s="40">
        <f t="shared" si="104"/>
        <v>285000</v>
      </c>
    </row>
    <row r="861" spans="2:24" ht="15.75">
      <c r="B861" s="308"/>
      <c r="C861" s="308"/>
      <c r="D861" s="289"/>
      <c r="E861" s="53" t="s">
        <v>192</v>
      </c>
      <c r="F861" s="49"/>
      <c r="G861" s="129"/>
      <c r="H861" s="220"/>
      <c r="I861" s="252">
        <v>3210</v>
      </c>
      <c r="J861" s="21">
        <f>305000-100000</f>
        <v>205000</v>
      </c>
      <c r="K861" s="49"/>
      <c r="L861" s="49"/>
      <c r="M861" s="49"/>
      <c r="N861" s="49"/>
      <c r="O861" s="49"/>
      <c r="P861" s="49">
        <v>100000</v>
      </c>
      <c r="Q861" s="49">
        <v>100000</v>
      </c>
      <c r="R861" s="49">
        <f>105000-100000</f>
        <v>5000</v>
      </c>
      <c r="S861" s="49"/>
      <c r="T861" s="49"/>
      <c r="U861" s="49"/>
      <c r="V861" s="49"/>
      <c r="W861" s="49"/>
      <c r="X861" s="40">
        <f t="shared" si="104"/>
        <v>205000</v>
      </c>
    </row>
    <row r="862" spans="2:24" ht="47.25" hidden="1">
      <c r="B862" s="308"/>
      <c r="C862" s="308"/>
      <c r="D862" s="289"/>
      <c r="E862" s="136" t="s">
        <v>193</v>
      </c>
      <c r="F862" s="49"/>
      <c r="G862" s="129"/>
      <c r="H862" s="220"/>
      <c r="I862" s="252">
        <v>3210</v>
      </c>
      <c r="J862" s="21">
        <f>95000-95000</f>
        <v>0</v>
      </c>
      <c r="K862" s="49"/>
      <c r="L862" s="49"/>
      <c r="M862" s="49"/>
      <c r="N862" s="49"/>
      <c r="O862" s="49">
        <v>95000</v>
      </c>
      <c r="P862" s="49"/>
      <c r="Q862" s="49"/>
      <c r="R862" s="49">
        <v>-95000</v>
      </c>
      <c r="S862" s="49"/>
      <c r="T862" s="49"/>
      <c r="U862" s="49"/>
      <c r="V862" s="49"/>
      <c r="W862" s="49"/>
      <c r="X862" s="40">
        <f t="shared" si="104"/>
        <v>0</v>
      </c>
    </row>
    <row r="863" spans="2:24" ht="31.5">
      <c r="B863" s="303"/>
      <c r="C863" s="303"/>
      <c r="D863" s="290"/>
      <c r="E863" s="136" t="s">
        <v>194</v>
      </c>
      <c r="F863" s="49"/>
      <c r="G863" s="129"/>
      <c r="H863" s="220"/>
      <c r="I863" s="252">
        <v>3210</v>
      </c>
      <c r="J863" s="21">
        <v>80000</v>
      </c>
      <c r="K863" s="49"/>
      <c r="L863" s="49"/>
      <c r="M863" s="49"/>
      <c r="N863" s="49"/>
      <c r="O863" s="49"/>
      <c r="P863" s="49">
        <v>80000</v>
      </c>
      <c r="Q863" s="49"/>
      <c r="R863" s="49"/>
      <c r="S863" s="49"/>
      <c r="T863" s="49"/>
      <c r="U863" s="49"/>
      <c r="V863" s="49"/>
      <c r="W863" s="49"/>
      <c r="X863" s="40">
        <f t="shared" si="104"/>
        <v>80000</v>
      </c>
    </row>
    <row r="864" spans="2:24" ht="15.75">
      <c r="B864" s="296" t="s">
        <v>484</v>
      </c>
      <c r="C864" s="296" t="s">
        <v>257</v>
      </c>
      <c r="D864" s="307" t="s">
        <v>493</v>
      </c>
      <c r="E864" s="94"/>
      <c r="F864" s="76"/>
      <c r="G864" s="99"/>
      <c r="H864" s="224"/>
      <c r="I864" s="255"/>
      <c r="J864" s="211">
        <f>J865+J866+J867+J868+J875+J879+J869+J870+J873+J872+J871</f>
        <v>3285616.33</v>
      </c>
      <c r="K864" s="211">
        <f aca="true" t="shared" si="107" ref="K864:W864">K865+K866+K867+K868+K875+K879+K869+K870+K873+K872+K871</f>
        <v>0</v>
      </c>
      <c r="L864" s="211">
        <f t="shared" si="107"/>
        <v>1345116.33</v>
      </c>
      <c r="M864" s="211">
        <f t="shared" si="107"/>
        <v>0</v>
      </c>
      <c r="N864" s="211">
        <f t="shared" si="107"/>
        <v>0</v>
      </c>
      <c r="O864" s="211">
        <f t="shared" si="107"/>
        <v>280625</v>
      </c>
      <c r="P864" s="211">
        <f t="shared" si="107"/>
        <v>70625</v>
      </c>
      <c r="Q864" s="211">
        <f t="shared" si="107"/>
        <v>1320625</v>
      </c>
      <c r="R864" s="211">
        <f t="shared" si="107"/>
        <v>107625</v>
      </c>
      <c r="S864" s="211">
        <f t="shared" si="107"/>
        <v>164625</v>
      </c>
      <c r="T864" s="211">
        <f t="shared" si="107"/>
        <v>47125</v>
      </c>
      <c r="U864" s="211">
        <f t="shared" si="107"/>
        <v>-65375</v>
      </c>
      <c r="V864" s="211">
        <f t="shared" si="107"/>
        <v>14625</v>
      </c>
      <c r="W864" s="211">
        <f t="shared" si="107"/>
        <v>1992456.53</v>
      </c>
      <c r="X864" s="184">
        <f t="shared" si="104"/>
        <v>1293159.8</v>
      </c>
    </row>
    <row r="865" spans="2:24" ht="94.5">
      <c r="B865" s="296"/>
      <c r="C865" s="296"/>
      <c r="D865" s="307"/>
      <c r="E865" s="19" t="s">
        <v>221</v>
      </c>
      <c r="F865" s="66">
        <v>540490</v>
      </c>
      <c r="G865" s="18">
        <f aca="true" t="shared" si="108" ref="G865:G870">100%-((F865-H865)/F865)</f>
        <v>0.20536920202038889</v>
      </c>
      <c r="H865" s="218">
        <v>111000</v>
      </c>
      <c r="I865" s="251">
        <v>3132</v>
      </c>
      <c r="J865" s="32">
        <v>168187.97</v>
      </c>
      <c r="K865" s="49"/>
      <c r="L865" s="32">
        <v>168187.97</v>
      </c>
      <c r="M865" s="49"/>
      <c r="N865" s="49"/>
      <c r="O865" s="49"/>
      <c r="P865" s="49"/>
      <c r="Q865" s="49"/>
      <c r="R865" s="49"/>
      <c r="S865" s="49"/>
      <c r="T865" s="49"/>
      <c r="U865" s="49"/>
      <c r="V865" s="49"/>
      <c r="W865" s="49">
        <v>168187.97</v>
      </c>
      <c r="X865" s="40">
        <f t="shared" si="104"/>
        <v>0</v>
      </c>
    </row>
    <row r="866" spans="2:24" ht="63">
      <c r="B866" s="296"/>
      <c r="C866" s="296"/>
      <c r="D866" s="307"/>
      <c r="E866" s="10" t="s">
        <v>951</v>
      </c>
      <c r="F866" s="76">
        <v>1042551</v>
      </c>
      <c r="G866" s="18">
        <f t="shared" si="108"/>
        <v>0.39277043521132293</v>
      </c>
      <c r="H866" s="224">
        <v>409483.21</v>
      </c>
      <c r="I866" s="255">
        <v>3132</v>
      </c>
      <c r="J866" s="9">
        <v>6482.72</v>
      </c>
      <c r="K866" s="49"/>
      <c r="L866" s="9">
        <v>6482.72</v>
      </c>
      <c r="M866" s="49"/>
      <c r="N866" s="49"/>
      <c r="O866" s="49"/>
      <c r="P866" s="49"/>
      <c r="Q866" s="49"/>
      <c r="R866" s="49"/>
      <c r="S866" s="49"/>
      <c r="T866" s="49"/>
      <c r="U866" s="49"/>
      <c r="V866" s="49"/>
      <c r="W866" s="49">
        <v>6482.72</v>
      </c>
      <c r="X866" s="40">
        <f t="shared" si="104"/>
        <v>0</v>
      </c>
    </row>
    <row r="867" spans="2:24" ht="47.25">
      <c r="B867" s="296"/>
      <c r="C867" s="296"/>
      <c r="D867" s="307"/>
      <c r="E867" s="28" t="s">
        <v>320</v>
      </c>
      <c r="F867" s="76">
        <v>1012910</v>
      </c>
      <c r="G867" s="18">
        <f t="shared" si="108"/>
        <v>0.3662252322516314</v>
      </c>
      <c r="H867" s="224">
        <v>370953.2</v>
      </c>
      <c r="I867" s="255">
        <v>3132</v>
      </c>
      <c r="J867" s="9">
        <v>360763.46</v>
      </c>
      <c r="K867" s="49"/>
      <c r="L867" s="9">
        <v>360763.46</v>
      </c>
      <c r="M867" s="49"/>
      <c r="N867" s="49"/>
      <c r="O867" s="49"/>
      <c r="P867" s="49"/>
      <c r="Q867" s="49"/>
      <c r="R867" s="49"/>
      <c r="S867" s="49"/>
      <c r="T867" s="49"/>
      <c r="U867" s="49"/>
      <c r="V867" s="49"/>
      <c r="W867" s="49">
        <v>360763.46</v>
      </c>
      <c r="X867" s="40">
        <f t="shared" si="104"/>
        <v>0</v>
      </c>
    </row>
    <row r="868" spans="2:24" ht="47.25">
      <c r="B868" s="296"/>
      <c r="C868" s="296"/>
      <c r="D868" s="307"/>
      <c r="E868" s="28" t="s">
        <v>321</v>
      </c>
      <c r="F868" s="76">
        <v>1042551</v>
      </c>
      <c r="G868" s="18">
        <f t="shared" si="108"/>
        <v>0.39277043521132293</v>
      </c>
      <c r="H868" s="224">
        <v>409483.21</v>
      </c>
      <c r="I868" s="255">
        <v>3132</v>
      </c>
      <c r="J868" s="9">
        <v>2684.92</v>
      </c>
      <c r="K868" s="49"/>
      <c r="L868" s="9">
        <v>2684.92</v>
      </c>
      <c r="M868" s="49"/>
      <c r="N868" s="49"/>
      <c r="O868" s="49"/>
      <c r="P868" s="49"/>
      <c r="Q868" s="49"/>
      <c r="R868" s="49"/>
      <c r="S868" s="49"/>
      <c r="T868" s="49"/>
      <c r="U868" s="49"/>
      <c r="V868" s="49"/>
      <c r="W868" s="49">
        <v>2684.92</v>
      </c>
      <c r="X868" s="40">
        <f t="shared" si="104"/>
        <v>0</v>
      </c>
    </row>
    <row r="869" spans="2:24" ht="31.5">
      <c r="B869" s="296"/>
      <c r="C869" s="296"/>
      <c r="D869" s="307"/>
      <c r="E869" s="130" t="s">
        <v>195</v>
      </c>
      <c r="F869" s="66">
        <v>704692</v>
      </c>
      <c r="G869" s="18">
        <f t="shared" si="108"/>
        <v>0.07095298371487113</v>
      </c>
      <c r="H869" s="218">
        <v>50000</v>
      </c>
      <c r="I869" s="251">
        <v>3132</v>
      </c>
      <c r="J869" s="66">
        <f>50000+20000</f>
        <v>70000</v>
      </c>
      <c r="K869" s="49"/>
      <c r="L869" s="49"/>
      <c r="M869" s="49"/>
      <c r="N869" s="49"/>
      <c r="O869" s="49">
        <v>50000</v>
      </c>
      <c r="P869" s="49"/>
      <c r="Q869" s="49"/>
      <c r="R869" s="49"/>
      <c r="S869" s="49"/>
      <c r="T869" s="49"/>
      <c r="U869" s="49">
        <v>20000</v>
      </c>
      <c r="V869" s="49"/>
      <c r="W869" s="49">
        <f>813.6+67274.4</f>
        <v>68088</v>
      </c>
      <c r="X869" s="40">
        <f t="shared" si="104"/>
        <v>1912</v>
      </c>
    </row>
    <row r="870" spans="2:24" ht="78.75">
      <c r="B870" s="296"/>
      <c r="C870" s="296"/>
      <c r="D870" s="307"/>
      <c r="E870" s="130" t="s">
        <v>196</v>
      </c>
      <c r="F870" s="66">
        <v>540490</v>
      </c>
      <c r="G870" s="18">
        <f t="shared" si="108"/>
        <v>0.20536920202038889</v>
      </c>
      <c r="H870" s="218">
        <v>111000</v>
      </c>
      <c r="I870" s="251">
        <v>3132</v>
      </c>
      <c r="J870" s="66">
        <v>110000</v>
      </c>
      <c r="K870" s="49"/>
      <c r="L870" s="49"/>
      <c r="M870" s="49"/>
      <c r="N870" s="49"/>
      <c r="O870" s="49">
        <v>110000</v>
      </c>
      <c r="P870" s="49"/>
      <c r="Q870" s="49"/>
      <c r="R870" s="49"/>
      <c r="S870" s="49"/>
      <c r="T870" s="49"/>
      <c r="U870" s="49"/>
      <c r="V870" s="49"/>
      <c r="W870" s="49">
        <f>91449.6+1413.39</f>
        <v>92862.99</v>
      </c>
      <c r="X870" s="40">
        <f t="shared" si="104"/>
        <v>17137.009999999995</v>
      </c>
    </row>
    <row r="871" spans="2:24" ht="31.5">
      <c r="B871" s="296"/>
      <c r="C871" s="296"/>
      <c r="D871" s="307"/>
      <c r="E871" s="130" t="s">
        <v>136</v>
      </c>
      <c r="F871" s="66"/>
      <c r="G871" s="18"/>
      <c r="H871" s="218"/>
      <c r="I871" s="251">
        <v>2281</v>
      </c>
      <c r="J871" s="66">
        <f>150000-100000</f>
        <v>50000</v>
      </c>
      <c r="K871" s="49"/>
      <c r="L871" s="49"/>
      <c r="M871" s="49"/>
      <c r="N871" s="49"/>
      <c r="O871" s="49"/>
      <c r="P871" s="49"/>
      <c r="Q871" s="49"/>
      <c r="R871" s="49"/>
      <c r="S871" s="49">
        <v>150000</v>
      </c>
      <c r="T871" s="49"/>
      <c r="U871" s="49">
        <v>-100000</v>
      </c>
      <c r="V871" s="49"/>
      <c r="W871" s="49"/>
      <c r="X871" s="40">
        <f t="shared" si="104"/>
        <v>50000</v>
      </c>
    </row>
    <row r="872" spans="2:24" ht="78.75">
      <c r="B872" s="296"/>
      <c r="C872" s="296"/>
      <c r="D872" s="307"/>
      <c r="E872" s="130" t="s">
        <v>717</v>
      </c>
      <c r="F872" s="66"/>
      <c r="G872" s="18"/>
      <c r="H872" s="218"/>
      <c r="I872" s="251">
        <v>3132</v>
      </c>
      <c r="J872" s="66">
        <f>100000+93000</f>
        <v>193000</v>
      </c>
      <c r="K872" s="49"/>
      <c r="L872" s="49"/>
      <c r="M872" s="49"/>
      <c r="N872" s="49"/>
      <c r="O872" s="49"/>
      <c r="P872" s="49">
        <v>50000</v>
      </c>
      <c r="Q872" s="49">
        <v>50000</v>
      </c>
      <c r="R872" s="49">
        <v>93000</v>
      </c>
      <c r="S872" s="49"/>
      <c r="T872" s="49"/>
      <c r="U872" s="49"/>
      <c r="V872" s="49"/>
      <c r="W872" s="49">
        <f>42696</f>
        <v>42696</v>
      </c>
      <c r="X872" s="40">
        <f t="shared" si="104"/>
        <v>150304</v>
      </c>
    </row>
    <row r="873" spans="2:24" ht="47.25">
      <c r="B873" s="296"/>
      <c r="C873" s="296"/>
      <c r="D873" s="307"/>
      <c r="E873" s="137" t="s">
        <v>612</v>
      </c>
      <c r="F873" s="40"/>
      <c r="G873" s="138"/>
      <c r="H873" s="225"/>
      <c r="I873" s="256"/>
      <c r="J873" s="77">
        <f>J874</f>
        <v>20000</v>
      </c>
      <c r="K873" s="77">
        <f aca="true" t="shared" si="109" ref="K873:W873">K874</f>
        <v>0</v>
      </c>
      <c r="L873" s="77">
        <f t="shared" si="109"/>
        <v>0</v>
      </c>
      <c r="M873" s="77">
        <f t="shared" si="109"/>
        <v>0</v>
      </c>
      <c r="N873" s="77">
        <f t="shared" si="109"/>
        <v>0</v>
      </c>
      <c r="O873" s="77">
        <f t="shared" si="109"/>
        <v>0</v>
      </c>
      <c r="P873" s="77">
        <f t="shared" si="109"/>
        <v>0</v>
      </c>
      <c r="Q873" s="77">
        <f t="shared" si="109"/>
        <v>0</v>
      </c>
      <c r="R873" s="77">
        <f t="shared" si="109"/>
        <v>0</v>
      </c>
      <c r="S873" s="77">
        <f t="shared" si="109"/>
        <v>0</v>
      </c>
      <c r="T873" s="77">
        <f t="shared" si="109"/>
        <v>20000</v>
      </c>
      <c r="U873" s="77">
        <f t="shared" si="109"/>
        <v>0</v>
      </c>
      <c r="V873" s="77">
        <f t="shared" si="109"/>
        <v>0</v>
      </c>
      <c r="W873" s="77">
        <f t="shared" si="109"/>
        <v>17523</v>
      </c>
      <c r="X873" s="40">
        <f t="shared" si="104"/>
        <v>2477</v>
      </c>
    </row>
    <row r="874" spans="2:24" ht="63">
      <c r="B874" s="296"/>
      <c r="C874" s="296"/>
      <c r="D874" s="307"/>
      <c r="E874" s="130" t="s">
        <v>736</v>
      </c>
      <c r="F874" s="49"/>
      <c r="G874" s="18"/>
      <c r="H874" s="220"/>
      <c r="I874" s="252">
        <v>3110</v>
      </c>
      <c r="J874" s="21">
        <v>20000</v>
      </c>
      <c r="K874" s="49"/>
      <c r="L874" s="49"/>
      <c r="M874" s="49"/>
      <c r="N874" s="49"/>
      <c r="O874" s="49"/>
      <c r="P874" s="49"/>
      <c r="Q874" s="49"/>
      <c r="R874" s="49"/>
      <c r="S874" s="49"/>
      <c r="T874" s="49">
        <v>20000</v>
      </c>
      <c r="U874" s="49"/>
      <c r="V874" s="49"/>
      <c r="W874" s="49">
        <f>17523</f>
        <v>17523</v>
      </c>
      <c r="X874" s="40">
        <f t="shared" si="104"/>
        <v>2477</v>
      </c>
    </row>
    <row r="875" spans="2:24" ht="47.25">
      <c r="B875" s="296"/>
      <c r="C875" s="296"/>
      <c r="D875" s="307"/>
      <c r="E875" s="36" t="s">
        <v>720</v>
      </c>
      <c r="F875" s="76"/>
      <c r="G875" s="99"/>
      <c r="H875" s="224"/>
      <c r="I875" s="255"/>
      <c r="J875" s="37">
        <f>SUM(J876:J878)</f>
        <v>2042362.72</v>
      </c>
      <c r="K875" s="37">
        <f aca="true" t="shared" si="110" ref="K875:W875">SUM(K876:K878)</f>
        <v>0</v>
      </c>
      <c r="L875" s="37">
        <f t="shared" si="110"/>
        <v>779862.72</v>
      </c>
      <c r="M875" s="37">
        <f t="shared" si="110"/>
        <v>0</v>
      </c>
      <c r="N875" s="37">
        <f t="shared" si="110"/>
        <v>0</v>
      </c>
      <c r="O875" s="37">
        <f t="shared" si="110"/>
        <v>0</v>
      </c>
      <c r="P875" s="37">
        <f t="shared" si="110"/>
        <v>0</v>
      </c>
      <c r="Q875" s="37">
        <f t="shared" si="110"/>
        <v>1250000</v>
      </c>
      <c r="R875" s="37">
        <f t="shared" si="110"/>
        <v>0</v>
      </c>
      <c r="S875" s="37">
        <f t="shared" si="110"/>
        <v>0</v>
      </c>
      <c r="T875" s="37">
        <f t="shared" si="110"/>
        <v>12500</v>
      </c>
      <c r="U875" s="37">
        <f t="shared" si="110"/>
        <v>0</v>
      </c>
      <c r="V875" s="37">
        <f t="shared" si="110"/>
        <v>0</v>
      </c>
      <c r="W875" s="37">
        <f t="shared" si="110"/>
        <v>1067154.72</v>
      </c>
      <c r="X875" s="40">
        <f t="shared" si="104"/>
        <v>975208</v>
      </c>
    </row>
    <row r="876" spans="2:24" ht="47.25">
      <c r="B876" s="296"/>
      <c r="C876" s="296"/>
      <c r="D876" s="307"/>
      <c r="E876" s="10" t="s">
        <v>721</v>
      </c>
      <c r="F876" s="76"/>
      <c r="G876" s="99"/>
      <c r="H876" s="224"/>
      <c r="I876" s="255">
        <v>2281</v>
      </c>
      <c r="J876" s="9">
        <v>779862.72</v>
      </c>
      <c r="K876" s="49"/>
      <c r="L876" s="9">
        <v>779862.72</v>
      </c>
      <c r="M876" s="49"/>
      <c r="N876" s="49"/>
      <c r="O876" s="49"/>
      <c r="P876" s="49"/>
      <c r="Q876" s="49"/>
      <c r="R876" s="49"/>
      <c r="S876" s="49"/>
      <c r="T876" s="49"/>
      <c r="U876" s="49"/>
      <c r="V876" s="49"/>
      <c r="W876" s="49">
        <v>779862.72</v>
      </c>
      <c r="X876" s="40">
        <f t="shared" si="104"/>
        <v>0</v>
      </c>
    </row>
    <row r="877" spans="2:24" ht="47.25">
      <c r="B877" s="296"/>
      <c r="C877" s="296"/>
      <c r="D877" s="307"/>
      <c r="E877" s="10" t="s">
        <v>436</v>
      </c>
      <c r="F877" s="76"/>
      <c r="G877" s="99"/>
      <c r="H877" s="224"/>
      <c r="I877" s="255">
        <v>2281</v>
      </c>
      <c r="J877" s="9">
        <f>50000-37500</f>
        <v>12500</v>
      </c>
      <c r="K877" s="49"/>
      <c r="L877" s="49"/>
      <c r="M877" s="49"/>
      <c r="N877" s="49"/>
      <c r="O877" s="49"/>
      <c r="P877" s="49"/>
      <c r="Q877" s="49"/>
      <c r="R877" s="49"/>
      <c r="S877" s="49"/>
      <c r="T877" s="49">
        <f>50000-37500</f>
        <v>12500</v>
      </c>
      <c r="U877" s="49"/>
      <c r="V877" s="49"/>
      <c r="W877" s="49"/>
      <c r="X877" s="40">
        <f t="shared" si="104"/>
        <v>12500</v>
      </c>
    </row>
    <row r="878" spans="2:24" ht="31.5">
      <c r="B878" s="296"/>
      <c r="C878" s="296"/>
      <c r="D878" s="307"/>
      <c r="E878" s="10" t="s">
        <v>437</v>
      </c>
      <c r="F878" s="76"/>
      <c r="G878" s="99"/>
      <c r="H878" s="224"/>
      <c r="I878" s="255">
        <v>2281</v>
      </c>
      <c r="J878" s="9">
        <f>1300000-50000</f>
        <v>1250000</v>
      </c>
      <c r="K878" s="49"/>
      <c r="L878" s="49"/>
      <c r="M878" s="49"/>
      <c r="N878" s="49"/>
      <c r="O878" s="49"/>
      <c r="P878" s="49"/>
      <c r="Q878" s="49">
        <f>1300000-50000</f>
        <v>1250000</v>
      </c>
      <c r="R878" s="49"/>
      <c r="S878" s="49"/>
      <c r="T878" s="49"/>
      <c r="U878" s="49"/>
      <c r="V878" s="49"/>
      <c r="W878" s="49">
        <f>287292</f>
        <v>287292</v>
      </c>
      <c r="X878" s="40">
        <f t="shared" si="104"/>
        <v>962708</v>
      </c>
    </row>
    <row r="879" spans="2:24" ht="47.25">
      <c r="B879" s="296"/>
      <c r="C879" s="296"/>
      <c r="D879" s="307"/>
      <c r="E879" s="36" t="s">
        <v>541</v>
      </c>
      <c r="F879" s="76"/>
      <c r="G879" s="99"/>
      <c r="H879" s="224"/>
      <c r="I879" s="255"/>
      <c r="J879" s="38">
        <f>SUM(J880:J883)</f>
        <v>262134.54</v>
      </c>
      <c r="K879" s="38">
        <f aca="true" t="shared" si="111" ref="K879:W879">SUM(K880:K883)</f>
        <v>0</v>
      </c>
      <c r="L879" s="38">
        <f t="shared" si="111"/>
        <v>27134.54</v>
      </c>
      <c r="M879" s="38">
        <f t="shared" si="111"/>
        <v>0</v>
      </c>
      <c r="N879" s="38">
        <f t="shared" si="111"/>
        <v>0</v>
      </c>
      <c r="O879" s="38">
        <f t="shared" si="111"/>
        <v>120625</v>
      </c>
      <c r="P879" s="38">
        <f t="shared" si="111"/>
        <v>20625</v>
      </c>
      <c r="Q879" s="38">
        <f t="shared" si="111"/>
        <v>20625</v>
      </c>
      <c r="R879" s="38">
        <f t="shared" si="111"/>
        <v>14625</v>
      </c>
      <c r="S879" s="38">
        <f t="shared" si="111"/>
        <v>14625</v>
      </c>
      <c r="T879" s="38">
        <f t="shared" si="111"/>
        <v>14625</v>
      </c>
      <c r="U879" s="38">
        <f t="shared" si="111"/>
        <v>14625</v>
      </c>
      <c r="V879" s="38">
        <f t="shared" si="111"/>
        <v>14625</v>
      </c>
      <c r="W879" s="38">
        <f t="shared" si="111"/>
        <v>166012.75</v>
      </c>
      <c r="X879" s="40">
        <f t="shared" si="104"/>
        <v>96121.79000000001</v>
      </c>
    </row>
    <row r="880" spans="2:24" ht="94.5">
      <c r="B880" s="296"/>
      <c r="C880" s="296"/>
      <c r="D880" s="307"/>
      <c r="E880" s="33" t="s">
        <v>322</v>
      </c>
      <c r="F880" s="76"/>
      <c r="G880" s="99"/>
      <c r="H880" s="224"/>
      <c r="I880" s="255">
        <v>2281</v>
      </c>
      <c r="J880" s="9">
        <v>11233</v>
      </c>
      <c r="K880" s="49"/>
      <c r="L880" s="9">
        <v>11233</v>
      </c>
      <c r="M880" s="49"/>
      <c r="N880" s="49"/>
      <c r="O880" s="49"/>
      <c r="P880" s="49"/>
      <c r="Q880" s="49"/>
      <c r="R880" s="49"/>
      <c r="S880" s="49"/>
      <c r="T880" s="49"/>
      <c r="U880" s="49"/>
      <c r="V880" s="49"/>
      <c r="W880" s="49">
        <v>11233</v>
      </c>
      <c r="X880" s="40">
        <f t="shared" si="104"/>
        <v>0</v>
      </c>
    </row>
    <row r="881" spans="2:24" ht="63">
      <c r="B881" s="296"/>
      <c r="C881" s="296"/>
      <c r="D881" s="307"/>
      <c r="E881" s="33" t="s">
        <v>323</v>
      </c>
      <c r="F881" s="76"/>
      <c r="G881" s="99"/>
      <c r="H881" s="224"/>
      <c r="I881" s="255">
        <v>2281</v>
      </c>
      <c r="J881" s="9">
        <v>15901.54</v>
      </c>
      <c r="K881" s="49"/>
      <c r="L881" s="9">
        <v>15901.54</v>
      </c>
      <c r="M881" s="49"/>
      <c r="N881" s="49"/>
      <c r="O881" s="49"/>
      <c r="P881" s="49"/>
      <c r="Q881" s="49"/>
      <c r="R881" s="49"/>
      <c r="S881" s="49"/>
      <c r="T881" s="49"/>
      <c r="U881" s="49"/>
      <c r="V881" s="49"/>
      <c r="W881" s="49">
        <v>15901.54</v>
      </c>
      <c r="X881" s="40">
        <f t="shared" si="104"/>
        <v>0</v>
      </c>
    </row>
    <row r="882" spans="2:24" ht="94.5">
      <c r="B882" s="296"/>
      <c r="C882" s="296"/>
      <c r="D882" s="307"/>
      <c r="E882" s="33" t="s">
        <v>284</v>
      </c>
      <c r="F882" s="76"/>
      <c r="G882" s="99"/>
      <c r="H882" s="224"/>
      <c r="I882" s="255">
        <v>2281</v>
      </c>
      <c r="J882" s="9">
        <v>85000</v>
      </c>
      <c r="K882" s="49"/>
      <c r="L882" s="49"/>
      <c r="M882" s="49"/>
      <c r="N882" s="49"/>
      <c r="O882" s="49">
        <v>10625</v>
      </c>
      <c r="P882" s="49">
        <v>10625</v>
      </c>
      <c r="Q882" s="49">
        <v>10625</v>
      </c>
      <c r="R882" s="49">
        <v>10625</v>
      </c>
      <c r="S882" s="49">
        <v>10625</v>
      </c>
      <c r="T882" s="49">
        <v>10625</v>
      </c>
      <c r="U882" s="49">
        <v>10625</v>
      </c>
      <c r="V882" s="49">
        <v>10625</v>
      </c>
      <c r="W882" s="49">
        <f>12000+7000+5100+4300+1390</f>
        <v>29790</v>
      </c>
      <c r="X882" s="40">
        <f t="shared" si="104"/>
        <v>55210</v>
      </c>
    </row>
    <row r="883" spans="2:24" ht="63">
      <c r="B883" s="296"/>
      <c r="C883" s="296"/>
      <c r="D883" s="307"/>
      <c r="E883" s="33" t="s">
        <v>285</v>
      </c>
      <c r="F883" s="76"/>
      <c r="G883" s="99"/>
      <c r="H883" s="224"/>
      <c r="I883" s="255">
        <v>2281</v>
      </c>
      <c r="J883" s="9">
        <v>150000</v>
      </c>
      <c r="K883" s="49"/>
      <c r="L883" s="49"/>
      <c r="M883" s="49"/>
      <c r="N883" s="49"/>
      <c r="O883" s="49">
        <v>110000</v>
      </c>
      <c r="P883" s="49">
        <v>10000</v>
      </c>
      <c r="Q883" s="49">
        <v>10000</v>
      </c>
      <c r="R883" s="49">
        <v>4000</v>
      </c>
      <c r="S883" s="49">
        <v>4000</v>
      </c>
      <c r="T883" s="49">
        <v>4000</v>
      </c>
      <c r="U883" s="49">
        <v>4000</v>
      </c>
      <c r="V883" s="49">
        <v>4000</v>
      </c>
      <c r="W883" s="49">
        <f>96329.71+12758.5</f>
        <v>109088.21</v>
      </c>
      <c r="X883" s="40">
        <f t="shared" si="104"/>
        <v>40911.78999999999</v>
      </c>
    </row>
    <row r="884" spans="2:24" ht="15.75">
      <c r="B884" s="194"/>
      <c r="C884" s="195"/>
      <c r="D884" s="294" t="s">
        <v>512</v>
      </c>
      <c r="E884" s="295"/>
      <c r="F884" s="142"/>
      <c r="G884" s="143"/>
      <c r="H884" s="243"/>
      <c r="I884" s="260"/>
      <c r="J884" s="58">
        <f>J887+J885</f>
        <v>399999.22</v>
      </c>
      <c r="K884" s="58">
        <f aca="true" t="shared" si="112" ref="K884:W884">K887+K885</f>
        <v>0</v>
      </c>
      <c r="L884" s="58">
        <f t="shared" si="112"/>
        <v>84949.29000000001</v>
      </c>
      <c r="M884" s="58">
        <f t="shared" si="112"/>
        <v>0</v>
      </c>
      <c r="N884" s="58">
        <f t="shared" si="112"/>
        <v>0</v>
      </c>
      <c r="O884" s="58">
        <f t="shared" si="112"/>
        <v>80977.93</v>
      </c>
      <c r="P884" s="58">
        <f t="shared" si="112"/>
        <v>137036</v>
      </c>
      <c r="Q884" s="58">
        <f t="shared" si="112"/>
        <v>0</v>
      </c>
      <c r="R884" s="58">
        <f t="shared" si="112"/>
        <v>97036</v>
      </c>
      <c r="S884" s="58">
        <f t="shared" si="112"/>
        <v>0</v>
      </c>
      <c r="T884" s="58">
        <f t="shared" si="112"/>
        <v>0</v>
      </c>
      <c r="U884" s="58">
        <f t="shared" si="112"/>
        <v>0</v>
      </c>
      <c r="V884" s="58">
        <f t="shared" si="112"/>
        <v>0</v>
      </c>
      <c r="W884" s="58">
        <f t="shared" si="112"/>
        <v>399452.62</v>
      </c>
      <c r="X884" s="60">
        <f t="shared" si="104"/>
        <v>546.5999999999767</v>
      </c>
    </row>
    <row r="885" spans="2:24" ht="15.75">
      <c r="B885" s="298" t="s">
        <v>292</v>
      </c>
      <c r="C885" s="298" t="s">
        <v>290</v>
      </c>
      <c r="D885" s="287" t="s">
        <v>328</v>
      </c>
      <c r="E885" s="265"/>
      <c r="F885" s="57"/>
      <c r="G885" s="61"/>
      <c r="H885" s="57"/>
      <c r="I885" s="247"/>
      <c r="J885" s="192">
        <f>J886</f>
        <v>80000</v>
      </c>
      <c r="K885" s="192">
        <f aca="true" t="shared" si="113" ref="K885:W885">K886</f>
        <v>0</v>
      </c>
      <c r="L885" s="192">
        <f t="shared" si="113"/>
        <v>0</v>
      </c>
      <c r="M885" s="192">
        <f t="shared" si="113"/>
        <v>0</v>
      </c>
      <c r="N885" s="192">
        <f t="shared" si="113"/>
        <v>0</v>
      </c>
      <c r="O885" s="192">
        <f t="shared" si="113"/>
        <v>0</v>
      </c>
      <c r="P885" s="192">
        <f t="shared" si="113"/>
        <v>80000</v>
      </c>
      <c r="Q885" s="192">
        <f t="shared" si="113"/>
        <v>0</v>
      </c>
      <c r="R885" s="192">
        <f t="shared" si="113"/>
        <v>0</v>
      </c>
      <c r="S885" s="192">
        <f t="shared" si="113"/>
        <v>0</v>
      </c>
      <c r="T885" s="192">
        <f t="shared" si="113"/>
        <v>0</v>
      </c>
      <c r="U885" s="192">
        <f t="shared" si="113"/>
        <v>0</v>
      </c>
      <c r="V885" s="192">
        <f t="shared" si="113"/>
        <v>0</v>
      </c>
      <c r="W885" s="192">
        <f t="shared" si="113"/>
        <v>79900</v>
      </c>
      <c r="X885" s="184">
        <f t="shared" si="104"/>
        <v>100</v>
      </c>
    </row>
    <row r="886" spans="2:24" ht="31.5">
      <c r="B886" s="298"/>
      <c r="C886" s="298"/>
      <c r="D886" s="287"/>
      <c r="E886" s="31" t="s">
        <v>802</v>
      </c>
      <c r="F886" s="57"/>
      <c r="G886" s="61"/>
      <c r="H886" s="57"/>
      <c r="I886" s="247">
        <v>3110</v>
      </c>
      <c r="J886" s="57">
        <v>80000</v>
      </c>
      <c r="K886" s="57"/>
      <c r="L886" s="57"/>
      <c r="M886" s="57"/>
      <c r="N886" s="57"/>
      <c r="O886" s="57"/>
      <c r="P886" s="57">
        <v>80000</v>
      </c>
      <c r="Q886" s="57"/>
      <c r="R886" s="57"/>
      <c r="S886" s="57"/>
      <c r="T886" s="57"/>
      <c r="U886" s="57"/>
      <c r="V886" s="57"/>
      <c r="W886" s="57">
        <v>79900</v>
      </c>
      <c r="X886" s="40">
        <f t="shared" si="104"/>
        <v>100</v>
      </c>
    </row>
    <row r="887" spans="2:24" ht="15.75">
      <c r="B887" s="296" t="s">
        <v>484</v>
      </c>
      <c r="C887" s="296" t="s">
        <v>257</v>
      </c>
      <c r="D887" s="307" t="s">
        <v>493</v>
      </c>
      <c r="E887" s="204"/>
      <c r="F887" s="57"/>
      <c r="G887" s="61"/>
      <c r="H887" s="214"/>
      <c r="I887" s="247"/>
      <c r="J887" s="192">
        <f>J888+J892+J895+J896+J897+J898</f>
        <v>319999.22</v>
      </c>
      <c r="K887" s="192">
        <f aca="true" t="shared" si="114" ref="K887:W887">K888+K892+K895+K896+K897+K898</f>
        <v>0</v>
      </c>
      <c r="L887" s="192">
        <f t="shared" si="114"/>
        <v>84949.29000000001</v>
      </c>
      <c r="M887" s="192">
        <f t="shared" si="114"/>
        <v>0</v>
      </c>
      <c r="N887" s="192">
        <f t="shared" si="114"/>
        <v>0</v>
      </c>
      <c r="O887" s="192">
        <f t="shared" si="114"/>
        <v>80977.93</v>
      </c>
      <c r="P887" s="192">
        <f t="shared" si="114"/>
        <v>57036</v>
      </c>
      <c r="Q887" s="192">
        <f t="shared" si="114"/>
        <v>0</v>
      </c>
      <c r="R887" s="192">
        <f t="shared" si="114"/>
        <v>97036</v>
      </c>
      <c r="S887" s="192">
        <f t="shared" si="114"/>
        <v>0</v>
      </c>
      <c r="T887" s="192">
        <f t="shared" si="114"/>
        <v>0</v>
      </c>
      <c r="U887" s="192">
        <f t="shared" si="114"/>
        <v>0</v>
      </c>
      <c r="V887" s="192">
        <f t="shared" si="114"/>
        <v>0</v>
      </c>
      <c r="W887" s="192">
        <f t="shared" si="114"/>
        <v>319552.62</v>
      </c>
      <c r="X887" s="184">
        <f t="shared" si="104"/>
        <v>446.5999999999767</v>
      </c>
    </row>
    <row r="888" spans="2:24" ht="63">
      <c r="B888" s="296"/>
      <c r="C888" s="296"/>
      <c r="D888" s="307"/>
      <c r="E888" s="39" t="s">
        <v>324</v>
      </c>
      <c r="F888" s="57"/>
      <c r="G888" s="61"/>
      <c r="H888" s="214"/>
      <c r="I888" s="247"/>
      <c r="J888" s="40">
        <f>J889+J890+J891</f>
        <v>223472</v>
      </c>
      <c r="K888" s="40">
        <f aca="true" t="shared" si="115" ref="K888:W888">K889+K890+K891</f>
        <v>0</v>
      </c>
      <c r="L888" s="40">
        <f t="shared" si="115"/>
        <v>5.7</v>
      </c>
      <c r="M888" s="40">
        <f t="shared" si="115"/>
        <v>0</v>
      </c>
      <c r="N888" s="40">
        <f t="shared" si="115"/>
        <v>0</v>
      </c>
      <c r="O888" s="40">
        <f t="shared" si="115"/>
        <v>29394.3</v>
      </c>
      <c r="P888" s="40">
        <f t="shared" si="115"/>
        <v>97036</v>
      </c>
      <c r="Q888" s="40">
        <f t="shared" si="115"/>
        <v>0</v>
      </c>
      <c r="R888" s="40">
        <f t="shared" si="115"/>
        <v>97036</v>
      </c>
      <c r="S888" s="40">
        <f t="shared" si="115"/>
        <v>0</v>
      </c>
      <c r="T888" s="40">
        <f t="shared" si="115"/>
        <v>0</v>
      </c>
      <c r="U888" s="40">
        <f t="shared" si="115"/>
        <v>0</v>
      </c>
      <c r="V888" s="40">
        <f t="shared" si="115"/>
        <v>0</v>
      </c>
      <c r="W888" s="40">
        <f t="shared" si="115"/>
        <v>223025.40000000002</v>
      </c>
      <c r="X888" s="40">
        <f t="shared" si="104"/>
        <v>446.5999999999767</v>
      </c>
    </row>
    <row r="889" spans="2:24" ht="63">
      <c r="B889" s="296"/>
      <c r="C889" s="296"/>
      <c r="D889" s="307"/>
      <c r="E889" s="11" t="s">
        <v>325</v>
      </c>
      <c r="F889" s="57"/>
      <c r="G889" s="61"/>
      <c r="H889" s="214"/>
      <c r="I889" s="247">
        <v>3110</v>
      </c>
      <c r="J889" s="9">
        <v>5.7</v>
      </c>
      <c r="K889" s="49"/>
      <c r="L889" s="49">
        <v>5.7</v>
      </c>
      <c r="M889" s="49"/>
      <c r="N889" s="49"/>
      <c r="O889" s="49"/>
      <c r="P889" s="49"/>
      <c r="Q889" s="49"/>
      <c r="R889" s="49"/>
      <c r="S889" s="49"/>
      <c r="T889" s="49"/>
      <c r="U889" s="49"/>
      <c r="V889" s="49"/>
      <c r="W889" s="49">
        <v>5.7</v>
      </c>
      <c r="X889" s="40">
        <f t="shared" si="104"/>
        <v>0</v>
      </c>
    </row>
    <row r="890" spans="2:24" ht="47.25">
      <c r="B890" s="296"/>
      <c r="C890" s="296"/>
      <c r="D890" s="307"/>
      <c r="E890" s="139" t="s">
        <v>286</v>
      </c>
      <c r="F890" s="21"/>
      <c r="G890" s="140"/>
      <c r="H890" s="217"/>
      <c r="I890" s="250">
        <v>3110</v>
      </c>
      <c r="J890" s="141">
        <v>29394.3</v>
      </c>
      <c r="K890" s="200"/>
      <c r="L890" s="200"/>
      <c r="M890" s="200"/>
      <c r="N890" s="200"/>
      <c r="O890" s="200">
        <v>29394.3</v>
      </c>
      <c r="P890" s="200"/>
      <c r="Q890" s="200"/>
      <c r="R890" s="200"/>
      <c r="S890" s="200"/>
      <c r="T890" s="200"/>
      <c r="U890" s="200"/>
      <c r="V890" s="200"/>
      <c r="W890" s="49">
        <v>29394.3</v>
      </c>
      <c r="X890" s="40">
        <f t="shared" si="104"/>
        <v>0</v>
      </c>
    </row>
    <row r="891" spans="2:24" ht="47.25">
      <c r="B891" s="296"/>
      <c r="C891" s="296"/>
      <c r="D891" s="307"/>
      <c r="E891" s="139" t="s">
        <v>367</v>
      </c>
      <c r="F891" s="21"/>
      <c r="G891" s="140"/>
      <c r="H891" s="217"/>
      <c r="I891" s="250">
        <v>3132</v>
      </c>
      <c r="J891" s="141">
        <v>194072</v>
      </c>
      <c r="K891" s="200"/>
      <c r="L891" s="200"/>
      <c r="M891" s="200"/>
      <c r="N891" s="200"/>
      <c r="O891" s="200"/>
      <c r="P891" s="200">
        <v>97036</v>
      </c>
      <c r="Q891" s="200"/>
      <c r="R891" s="200">
        <v>97036</v>
      </c>
      <c r="S891" s="200"/>
      <c r="T891" s="200"/>
      <c r="U891" s="200"/>
      <c r="V891" s="200"/>
      <c r="W891" s="49">
        <f>11045+124309.08+58271.32</f>
        <v>193625.40000000002</v>
      </c>
      <c r="X891" s="40">
        <f t="shared" si="104"/>
        <v>446.5999999999767</v>
      </c>
    </row>
    <row r="892" spans="2:24" ht="63">
      <c r="B892" s="296"/>
      <c r="C892" s="296"/>
      <c r="D892" s="307"/>
      <c r="E892" s="39" t="s">
        <v>326</v>
      </c>
      <c r="F892" s="57"/>
      <c r="G892" s="61"/>
      <c r="H892" s="214"/>
      <c r="I892" s="247"/>
      <c r="J892" s="40">
        <f>J893+J894</f>
        <v>38611.22</v>
      </c>
      <c r="K892" s="40">
        <f aca="true" t="shared" si="116" ref="K892:W892">K893+K894</f>
        <v>0</v>
      </c>
      <c r="L892" s="40">
        <f t="shared" si="116"/>
        <v>27027.59</v>
      </c>
      <c r="M892" s="40">
        <f t="shared" si="116"/>
        <v>0</v>
      </c>
      <c r="N892" s="40">
        <f t="shared" si="116"/>
        <v>0</v>
      </c>
      <c r="O892" s="40">
        <f t="shared" si="116"/>
        <v>11583.63</v>
      </c>
      <c r="P892" s="40">
        <f t="shared" si="116"/>
        <v>0</v>
      </c>
      <c r="Q892" s="40">
        <f t="shared" si="116"/>
        <v>0</v>
      </c>
      <c r="R892" s="40">
        <f t="shared" si="116"/>
        <v>0</v>
      </c>
      <c r="S892" s="40">
        <f t="shared" si="116"/>
        <v>0</v>
      </c>
      <c r="T892" s="40">
        <f t="shared" si="116"/>
        <v>0</v>
      </c>
      <c r="U892" s="40">
        <f t="shared" si="116"/>
        <v>0</v>
      </c>
      <c r="V892" s="40">
        <f t="shared" si="116"/>
        <v>0</v>
      </c>
      <c r="W892" s="40">
        <f t="shared" si="116"/>
        <v>38611.22</v>
      </c>
      <c r="X892" s="40">
        <f t="shared" si="104"/>
        <v>0</v>
      </c>
    </row>
    <row r="893" spans="2:24" ht="78.75">
      <c r="B893" s="296"/>
      <c r="C893" s="296"/>
      <c r="D893" s="307"/>
      <c r="E893" s="41" t="s">
        <v>934</v>
      </c>
      <c r="F893" s="57"/>
      <c r="G893" s="61"/>
      <c r="H893" s="214"/>
      <c r="I893" s="247">
        <v>3142</v>
      </c>
      <c r="J893" s="9">
        <v>27027.59</v>
      </c>
      <c r="K893" s="49"/>
      <c r="L893" s="49">
        <v>27027.59</v>
      </c>
      <c r="M893" s="49"/>
      <c r="N893" s="49"/>
      <c r="O893" s="49"/>
      <c r="P893" s="49"/>
      <c r="Q893" s="49"/>
      <c r="R893" s="49"/>
      <c r="S893" s="49"/>
      <c r="T893" s="49"/>
      <c r="U893" s="49"/>
      <c r="V893" s="49"/>
      <c r="W893" s="49">
        <v>27027.59</v>
      </c>
      <c r="X893" s="40">
        <f t="shared" si="104"/>
        <v>0</v>
      </c>
    </row>
    <row r="894" spans="2:24" ht="47.25">
      <c r="B894" s="296"/>
      <c r="C894" s="296"/>
      <c r="D894" s="307"/>
      <c r="E894" s="139" t="s">
        <v>219</v>
      </c>
      <c r="F894" s="21">
        <v>42140.22</v>
      </c>
      <c r="G894" s="140">
        <v>0.92</v>
      </c>
      <c r="H894" s="217">
        <v>38611.22</v>
      </c>
      <c r="I894" s="250">
        <v>3142</v>
      </c>
      <c r="J894" s="141">
        <v>11583.63</v>
      </c>
      <c r="K894" s="200"/>
      <c r="L894" s="200"/>
      <c r="M894" s="200"/>
      <c r="N894" s="200"/>
      <c r="O894" s="200">
        <v>11583.63</v>
      </c>
      <c r="P894" s="200"/>
      <c r="Q894" s="200"/>
      <c r="R894" s="200"/>
      <c r="S894" s="200"/>
      <c r="T894" s="200"/>
      <c r="U894" s="200"/>
      <c r="V894" s="200"/>
      <c r="W894" s="49">
        <v>11583.63</v>
      </c>
      <c r="X894" s="40">
        <f t="shared" si="104"/>
        <v>0</v>
      </c>
    </row>
    <row r="895" spans="2:24" ht="126">
      <c r="B895" s="296"/>
      <c r="C895" s="296"/>
      <c r="D895" s="307"/>
      <c r="E895" s="42" t="s">
        <v>301</v>
      </c>
      <c r="F895" s="57"/>
      <c r="G895" s="61"/>
      <c r="H895" s="214"/>
      <c r="I895" s="247">
        <v>3110</v>
      </c>
      <c r="J895" s="26">
        <v>57916</v>
      </c>
      <c r="K895" s="26"/>
      <c r="L895" s="49">
        <v>57916</v>
      </c>
      <c r="M895" s="26"/>
      <c r="N895" s="26"/>
      <c r="O895" s="26"/>
      <c r="P895" s="26"/>
      <c r="Q895" s="26"/>
      <c r="R895" s="26"/>
      <c r="S895" s="26"/>
      <c r="T895" s="26"/>
      <c r="U895" s="26"/>
      <c r="V895" s="26"/>
      <c r="W895" s="49">
        <v>57916</v>
      </c>
      <c r="X895" s="40">
        <f t="shared" si="104"/>
        <v>0</v>
      </c>
    </row>
    <row r="896" spans="2:24" ht="31.5" hidden="1">
      <c r="B896" s="296"/>
      <c r="C896" s="296"/>
      <c r="D896" s="307"/>
      <c r="E896" s="31" t="s">
        <v>802</v>
      </c>
      <c r="F896" s="21"/>
      <c r="G896" s="140"/>
      <c r="H896" s="217"/>
      <c r="I896" s="250">
        <v>3110</v>
      </c>
      <c r="J896" s="141">
        <f>80000-80000</f>
        <v>0</v>
      </c>
      <c r="K896" s="200"/>
      <c r="L896" s="200"/>
      <c r="M896" s="200"/>
      <c r="N896" s="200"/>
      <c r="O896" s="200">
        <v>40000</v>
      </c>
      <c r="P896" s="200">
        <f>40000-80000</f>
        <v>-40000</v>
      </c>
      <c r="Q896" s="200"/>
      <c r="R896" s="200"/>
      <c r="S896" s="200"/>
      <c r="T896" s="200"/>
      <c r="U896" s="200"/>
      <c r="V896" s="200"/>
      <c r="W896" s="49"/>
      <c r="X896" s="40">
        <f t="shared" si="104"/>
        <v>0</v>
      </c>
    </row>
    <row r="897" spans="2:24" ht="94.5" hidden="1">
      <c r="B897" s="296"/>
      <c r="C897" s="296"/>
      <c r="D897" s="307"/>
      <c r="E897" s="31" t="s">
        <v>165</v>
      </c>
      <c r="F897" s="21">
        <v>1100000</v>
      </c>
      <c r="G897" s="140">
        <v>1</v>
      </c>
      <c r="H897" s="217">
        <v>1100000</v>
      </c>
      <c r="I897" s="250">
        <v>3110</v>
      </c>
      <c r="J897" s="141">
        <f>1100000-1100000</f>
        <v>0</v>
      </c>
      <c r="K897" s="200"/>
      <c r="L897" s="200"/>
      <c r="M897" s="200"/>
      <c r="N897" s="200"/>
      <c r="O897" s="200"/>
      <c r="P897" s="200"/>
      <c r="Q897" s="200"/>
      <c r="R897" s="200">
        <f>550000-550000</f>
        <v>0</v>
      </c>
      <c r="S897" s="200">
        <f>550000-550000</f>
        <v>0</v>
      </c>
      <c r="T897" s="200"/>
      <c r="U897" s="200"/>
      <c r="V897" s="200"/>
      <c r="W897" s="49"/>
      <c r="X897" s="40">
        <f t="shared" si="104"/>
        <v>0</v>
      </c>
    </row>
    <row r="898" spans="2:24" ht="47.25" hidden="1">
      <c r="B898" s="296"/>
      <c r="C898" s="296"/>
      <c r="D898" s="307"/>
      <c r="E898" s="31" t="s">
        <v>816</v>
      </c>
      <c r="F898" s="21">
        <v>194072.78</v>
      </c>
      <c r="G898" s="140">
        <v>1</v>
      </c>
      <c r="H898" s="217">
        <v>194072.78</v>
      </c>
      <c r="I898" s="250">
        <v>3132</v>
      </c>
      <c r="J898" s="141">
        <f>194072-194072</f>
        <v>0</v>
      </c>
      <c r="K898" s="200"/>
      <c r="L898" s="200"/>
      <c r="M898" s="200"/>
      <c r="N898" s="200"/>
      <c r="O898" s="200"/>
      <c r="P898" s="200">
        <f>97036-97036</f>
        <v>0</v>
      </c>
      <c r="Q898" s="200"/>
      <c r="R898" s="200">
        <f>97036-97036</f>
        <v>0</v>
      </c>
      <c r="S898" s="200"/>
      <c r="T898" s="200"/>
      <c r="U898" s="200"/>
      <c r="V898" s="200"/>
      <c r="W898" s="49"/>
      <c r="X898" s="40">
        <f t="shared" si="104"/>
        <v>0</v>
      </c>
    </row>
    <row r="899" spans="2:24" ht="15.75">
      <c r="B899" s="205"/>
      <c r="C899" s="205"/>
      <c r="D899" s="304" t="s">
        <v>806</v>
      </c>
      <c r="E899" s="305"/>
      <c r="F899" s="142"/>
      <c r="G899" s="143"/>
      <c r="H899" s="243"/>
      <c r="I899" s="260"/>
      <c r="J899" s="144">
        <f>J900</f>
        <v>240000</v>
      </c>
      <c r="K899" s="144">
        <f aca="true" t="shared" si="117" ref="K899:W899">K900</f>
        <v>0</v>
      </c>
      <c r="L899" s="144">
        <f t="shared" si="117"/>
        <v>0</v>
      </c>
      <c r="M899" s="144">
        <f t="shared" si="117"/>
        <v>0</v>
      </c>
      <c r="N899" s="144">
        <f t="shared" si="117"/>
        <v>0</v>
      </c>
      <c r="O899" s="144">
        <f t="shared" si="117"/>
        <v>0</v>
      </c>
      <c r="P899" s="144">
        <f t="shared" si="117"/>
        <v>359000</v>
      </c>
      <c r="Q899" s="144">
        <f t="shared" si="117"/>
        <v>0</v>
      </c>
      <c r="R899" s="144">
        <f t="shared" si="117"/>
        <v>0</v>
      </c>
      <c r="S899" s="144">
        <f t="shared" si="117"/>
        <v>0</v>
      </c>
      <c r="T899" s="144">
        <f t="shared" si="117"/>
        <v>0</v>
      </c>
      <c r="U899" s="144">
        <f t="shared" si="117"/>
        <v>-119000</v>
      </c>
      <c r="V899" s="144">
        <f t="shared" si="117"/>
        <v>0</v>
      </c>
      <c r="W899" s="144">
        <f t="shared" si="117"/>
        <v>238420.22</v>
      </c>
      <c r="X899" s="60">
        <f t="shared" si="104"/>
        <v>1579.7799999999988</v>
      </c>
    </row>
    <row r="900" spans="2:24" ht="15.75">
      <c r="B900" s="306" t="s">
        <v>292</v>
      </c>
      <c r="C900" s="306" t="s">
        <v>290</v>
      </c>
      <c r="D900" s="307" t="s">
        <v>328</v>
      </c>
      <c r="E900" s="42"/>
      <c r="F900" s="57"/>
      <c r="G900" s="61"/>
      <c r="H900" s="214"/>
      <c r="I900" s="247"/>
      <c r="J900" s="210">
        <f>SUM(J901:J905)</f>
        <v>240000</v>
      </c>
      <c r="K900" s="210">
        <f aca="true" t="shared" si="118" ref="K900:W900">SUM(K901:K905)</f>
        <v>0</v>
      </c>
      <c r="L900" s="210">
        <f t="shared" si="118"/>
        <v>0</v>
      </c>
      <c r="M900" s="210">
        <f t="shared" si="118"/>
        <v>0</v>
      </c>
      <c r="N900" s="210">
        <f t="shared" si="118"/>
        <v>0</v>
      </c>
      <c r="O900" s="210">
        <f t="shared" si="118"/>
        <v>0</v>
      </c>
      <c r="P900" s="210">
        <f t="shared" si="118"/>
        <v>359000</v>
      </c>
      <c r="Q900" s="210">
        <f t="shared" si="118"/>
        <v>0</v>
      </c>
      <c r="R900" s="210">
        <f t="shared" si="118"/>
        <v>0</v>
      </c>
      <c r="S900" s="210">
        <f t="shared" si="118"/>
        <v>0</v>
      </c>
      <c r="T900" s="210">
        <f t="shared" si="118"/>
        <v>0</v>
      </c>
      <c r="U900" s="210">
        <f t="shared" si="118"/>
        <v>-119000</v>
      </c>
      <c r="V900" s="210">
        <f t="shared" si="118"/>
        <v>0</v>
      </c>
      <c r="W900" s="210">
        <f t="shared" si="118"/>
        <v>238420.22</v>
      </c>
      <c r="X900" s="184">
        <f t="shared" si="104"/>
        <v>1579.7799999999988</v>
      </c>
    </row>
    <row r="901" spans="2:24" ht="31.5">
      <c r="B901" s="306"/>
      <c r="C901" s="306"/>
      <c r="D901" s="307"/>
      <c r="E901" s="51" t="s">
        <v>807</v>
      </c>
      <c r="F901" s="57"/>
      <c r="G901" s="61"/>
      <c r="H901" s="214"/>
      <c r="I901" s="247">
        <v>3110</v>
      </c>
      <c r="J901" s="9">
        <f>90000-12528</f>
        <v>77472</v>
      </c>
      <c r="K901" s="49"/>
      <c r="L901" s="49"/>
      <c r="M901" s="49"/>
      <c r="N901" s="49"/>
      <c r="O901" s="49"/>
      <c r="P901" s="49">
        <v>90000</v>
      </c>
      <c r="Q901" s="49"/>
      <c r="R901" s="49"/>
      <c r="S901" s="49"/>
      <c r="T901" s="49"/>
      <c r="U901" s="49">
        <v>-12528</v>
      </c>
      <c r="V901" s="49"/>
      <c r="W901" s="49">
        <v>77472</v>
      </c>
      <c r="X901" s="40">
        <f t="shared" si="104"/>
        <v>0</v>
      </c>
    </row>
    <row r="902" spans="2:24" ht="63">
      <c r="B902" s="306"/>
      <c r="C902" s="306"/>
      <c r="D902" s="307"/>
      <c r="E902" s="51" t="s">
        <v>232</v>
      </c>
      <c r="F902" s="57"/>
      <c r="G902" s="61"/>
      <c r="H902" s="214"/>
      <c r="I902" s="247">
        <v>3110</v>
      </c>
      <c r="J902" s="9">
        <f>150000-70545.78</f>
        <v>79454.22</v>
      </c>
      <c r="K902" s="49"/>
      <c r="L902" s="49"/>
      <c r="M902" s="49"/>
      <c r="N902" s="49"/>
      <c r="O902" s="49"/>
      <c r="P902" s="49">
        <v>150000</v>
      </c>
      <c r="Q902" s="49"/>
      <c r="R902" s="49"/>
      <c r="S902" s="49"/>
      <c r="T902" s="49"/>
      <c r="U902" s="49">
        <v>-70545.78</v>
      </c>
      <c r="V902" s="49"/>
      <c r="W902" s="49">
        <v>79454.22</v>
      </c>
      <c r="X902" s="40">
        <f t="shared" si="104"/>
        <v>0</v>
      </c>
    </row>
    <row r="903" spans="2:24" ht="31.5">
      <c r="B903" s="306"/>
      <c r="C903" s="306"/>
      <c r="D903" s="307"/>
      <c r="E903" s="51" t="s">
        <v>20</v>
      </c>
      <c r="F903" s="57"/>
      <c r="G903" s="61"/>
      <c r="H903" s="214"/>
      <c r="I903" s="247">
        <v>3110</v>
      </c>
      <c r="J903" s="9">
        <v>28500</v>
      </c>
      <c r="K903" s="49"/>
      <c r="L903" s="49"/>
      <c r="M903" s="49"/>
      <c r="N903" s="49"/>
      <c r="O903" s="49"/>
      <c r="P903" s="49"/>
      <c r="Q903" s="49"/>
      <c r="R903" s="49"/>
      <c r="S903" s="49"/>
      <c r="T903" s="49"/>
      <c r="U903" s="49"/>
      <c r="V903" s="49">
        <v>28500</v>
      </c>
      <c r="W903" s="49">
        <v>28080</v>
      </c>
      <c r="X903" s="40">
        <f t="shared" si="104"/>
        <v>420</v>
      </c>
    </row>
    <row r="904" spans="2:24" ht="15.75">
      <c r="B904" s="306"/>
      <c r="C904" s="306"/>
      <c r="D904" s="307"/>
      <c r="E904" s="51" t="s">
        <v>770</v>
      </c>
      <c r="F904" s="57"/>
      <c r="G904" s="61"/>
      <c r="H904" s="214"/>
      <c r="I904" s="247">
        <v>3110</v>
      </c>
      <c r="J904" s="9">
        <f>83073.78-28500</f>
        <v>54573.78</v>
      </c>
      <c r="K904" s="49"/>
      <c r="L904" s="49"/>
      <c r="M904" s="49"/>
      <c r="N904" s="49"/>
      <c r="O904" s="49"/>
      <c r="P904" s="49"/>
      <c r="Q904" s="49"/>
      <c r="R904" s="49"/>
      <c r="S904" s="49"/>
      <c r="T904" s="49"/>
      <c r="U904" s="49">
        <v>83073.78</v>
      </c>
      <c r="V904" s="49">
        <v>-28500</v>
      </c>
      <c r="W904" s="49">
        <v>53414</v>
      </c>
      <c r="X904" s="40">
        <f t="shared" si="104"/>
        <v>1159.7799999999988</v>
      </c>
    </row>
    <row r="905" spans="2:24" ht="47.25" hidden="1">
      <c r="B905" s="306"/>
      <c r="C905" s="306"/>
      <c r="D905" s="307"/>
      <c r="E905" s="51" t="s">
        <v>345</v>
      </c>
      <c r="F905" s="57"/>
      <c r="G905" s="61"/>
      <c r="H905" s="214"/>
      <c r="I905" s="247">
        <v>3110</v>
      </c>
      <c r="J905" s="9">
        <f>119000-50000-69000</f>
        <v>0</v>
      </c>
      <c r="K905" s="49"/>
      <c r="L905" s="49"/>
      <c r="M905" s="49"/>
      <c r="N905" s="49"/>
      <c r="O905" s="49"/>
      <c r="P905" s="49">
        <v>119000</v>
      </c>
      <c r="Q905" s="49"/>
      <c r="R905" s="49"/>
      <c r="S905" s="49"/>
      <c r="T905" s="49"/>
      <c r="U905" s="49">
        <f>-50000-69000</f>
        <v>-119000</v>
      </c>
      <c r="V905" s="49"/>
      <c r="W905" s="49"/>
      <c r="X905" s="40">
        <f t="shared" si="104"/>
        <v>0</v>
      </c>
    </row>
    <row r="906" spans="2:24" ht="15.75">
      <c r="B906" s="205"/>
      <c r="C906" s="205"/>
      <c r="D906" s="304" t="s">
        <v>346</v>
      </c>
      <c r="E906" s="305"/>
      <c r="F906" s="142"/>
      <c r="G906" s="143"/>
      <c r="H906" s="243"/>
      <c r="I906" s="260"/>
      <c r="J906" s="144">
        <f>J907+J911+J913</f>
        <v>1428936</v>
      </c>
      <c r="K906" s="144">
        <f aca="true" t="shared" si="119" ref="K906:W906">K907+K911+K913</f>
        <v>0</v>
      </c>
      <c r="L906" s="144">
        <f t="shared" si="119"/>
        <v>0</v>
      </c>
      <c r="M906" s="144">
        <f t="shared" si="119"/>
        <v>309436</v>
      </c>
      <c r="N906" s="144">
        <f t="shared" si="119"/>
        <v>0</v>
      </c>
      <c r="O906" s="144">
        <f t="shared" si="119"/>
        <v>0</v>
      </c>
      <c r="P906" s="144">
        <f t="shared" si="119"/>
        <v>0</v>
      </c>
      <c r="Q906" s="144">
        <f t="shared" si="119"/>
        <v>0</v>
      </c>
      <c r="R906" s="144">
        <f t="shared" si="119"/>
        <v>100000</v>
      </c>
      <c r="S906" s="144">
        <f t="shared" si="119"/>
        <v>919500</v>
      </c>
      <c r="T906" s="144">
        <f t="shared" si="119"/>
        <v>100000</v>
      </c>
      <c r="U906" s="144">
        <f t="shared" si="119"/>
        <v>0</v>
      </c>
      <c r="V906" s="144">
        <f t="shared" si="119"/>
        <v>0</v>
      </c>
      <c r="W906" s="144">
        <f t="shared" si="119"/>
        <v>1428936</v>
      </c>
      <c r="X906" s="60">
        <f t="shared" si="104"/>
        <v>0</v>
      </c>
    </row>
    <row r="907" spans="2:24" ht="15.75">
      <c r="B907" s="302" t="s">
        <v>622</v>
      </c>
      <c r="C907" s="302" t="s">
        <v>513</v>
      </c>
      <c r="D907" s="288" t="s">
        <v>347</v>
      </c>
      <c r="E907" s="42"/>
      <c r="F907" s="57"/>
      <c r="G907" s="61"/>
      <c r="H907" s="214"/>
      <c r="I907" s="247"/>
      <c r="J907" s="210">
        <f>SUM(J908:J910)</f>
        <v>309436</v>
      </c>
      <c r="K907" s="210">
        <f aca="true" t="shared" si="120" ref="K907:W907">SUM(K908:K910)</f>
        <v>0</v>
      </c>
      <c r="L907" s="210">
        <f t="shared" si="120"/>
        <v>0</v>
      </c>
      <c r="M907" s="210">
        <f t="shared" si="120"/>
        <v>309436</v>
      </c>
      <c r="N907" s="210">
        <f t="shared" si="120"/>
        <v>0</v>
      </c>
      <c r="O907" s="210">
        <f t="shared" si="120"/>
        <v>0</v>
      </c>
      <c r="P907" s="210">
        <f t="shared" si="120"/>
        <v>0</v>
      </c>
      <c r="Q907" s="210">
        <f t="shared" si="120"/>
        <v>0</v>
      </c>
      <c r="R907" s="210">
        <f t="shared" si="120"/>
        <v>0</v>
      </c>
      <c r="S907" s="210">
        <f t="shared" si="120"/>
        <v>0</v>
      </c>
      <c r="T907" s="210">
        <f t="shared" si="120"/>
        <v>0</v>
      </c>
      <c r="U907" s="210">
        <f t="shared" si="120"/>
        <v>0</v>
      </c>
      <c r="V907" s="210">
        <f t="shared" si="120"/>
        <v>0</v>
      </c>
      <c r="W907" s="210">
        <f t="shared" si="120"/>
        <v>309436</v>
      </c>
      <c r="X907" s="184">
        <f t="shared" si="104"/>
        <v>0</v>
      </c>
    </row>
    <row r="908" spans="2:24" ht="110.25">
      <c r="B908" s="308"/>
      <c r="C908" s="308"/>
      <c r="D908" s="289"/>
      <c r="E908" s="51" t="s">
        <v>666</v>
      </c>
      <c r="F908" s="57"/>
      <c r="G908" s="61"/>
      <c r="H908" s="214"/>
      <c r="I908" s="247">
        <v>3220</v>
      </c>
      <c r="J908" s="9">
        <v>281286</v>
      </c>
      <c r="K908" s="49"/>
      <c r="L908" s="9"/>
      <c r="M908" s="49">
        <v>281286</v>
      </c>
      <c r="N908" s="49"/>
      <c r="O908" s="49"/>
      <c r="P908" s="49"/>
      <c r="Q908" s="49"/>
      <c r="R908" s="49"/>
      <c r="S908" s="49"/>
      <c r="T908" s="49"/>
      <c r="U908" s="49"/>
      <c r="V908" s="49"/>
      <c r="W908" s="49">
        <v>281286</v>
      </c>
      <c r="X908" s="40">
        <f t="shared" si="104"/>
        <v>0</v>
      </c>
    </row>
    <row r="909" spans="2:24" ht="78.75">
      <c r="B909" s="308"/>
      <c r="C909" s="308"/>
      <c r="D909" s="289"/>
      <c r="E909" s="51" t="s">
        <v>573</v>
      </c>
      <c r="F909" s="57"/>
      <c r="G909" s="61"/>
      <c r="H909" s="214"/>
      <c r="I909" s="247">
        <v>3220</v>
      </c>
      <c r="J909" s="9">
        <v>5039</v>
      </c>
      <c r="K909" s="49"/>
      <c r="L909" s="9"/>
      <c r="M909" s="9">
        <v>5039</v>
      </c>
      <c r="N909" s="49"/>
      <c r="O909" s="9"/>
      <c r="P909" s="49"/>
      <c r="Q909" s="49"/>
      <c r="R909" s="49"/>
      <c r="S909" s="49"/>
      <c r="T909" s="49"/>
      <c r="U909" s="49"/>
      <c r="V909" s="49"/>
      <c r="W909" s="49">
        <v>5039</v>
      </c>
      <c r="X909" s="40">
        <f t="shared" si="104"/>
        <v>0</v>
      </c>
    </row>
    <row r="910" spans="2:24" ht="110.25">
      <c r="B910" s="303"/>
      <c r="C910" s="303"/>
      <c r="D910" s="290"/>
      <c r="E910" s="51" t="s">
        <v>424</v>
      </c>
      <c r="F910" s="57"/>
      <c r="G910" s="61"/>
      <c r="H910" s="214"/>
      <c r="I910" s="247">
        <v>3220</v>
      </c>
      <c r="J910" s="9">
        <v>23111</v>
      </c>
      <c r="K910" s="49"/>
      <c r="L910" s="49"/>
      <c r="M910" s="9">
        <v>23111</v>
      </c>
      <c r="N910" s="49"/>
      <c r="O910" s="49"/>
      <c r="P910" s="49"/>
      <c r="Q910" s="49"/>
      <c r="R910" s="49"/>
      <c r="S910" s="49"/>
      <c r="T910" s="49"/>
      <c r="U910" s="49"/>
      <c r="V910" s="49"/>
      <c r="W910" s="49">
        <v>23111</v>
      </c>
      <c r="X910" s="40">
        <f t="shared" si="104"/>
        <v>0</v>
      </c>
    </row>
    <row r="911" spans="2:24" ht="15.75">
      <c r="B911" s="302" t="s">
        <v>377</v>
      </c>
      <c r="C911" s="302" t="s">
        <v>513</v>
      </c>
      <c r="D911" s="288" t="s">
        <v>228</v>
      </c>
      <c r="E911" s="42"/>
      <c r="F911" s="57"/>
      <c r="G911" s="61"/>
      <c r="H911" s="214"/>
      <c r="I911" s="247"/>
      <c r="J911" s="210">
        <f>J912</f>
        <v>200000</v>
      </c>
      <c r="K911" s="210">
        <f aca="true" t="shared" si="121" ref="K911:W911">K912</f>
        <v>0</v>
      </c>
      <c r="L911" s="210">
        <f t="shared" si="121"/>
        <v>0</v>
      </c>
      <c r="M911" s="210">
        <f t="shared" si="121"/>
        <v>0</v>
      </c>
      <c r="N911" s="210">
        <f t="shared" si="121"/>
        <v>0</v>
      </c>
      <c r="O911" s="210">
        <f t="shared" si="121"/>
        <v>0</v>
      </c>
      <c r="P911" s="210">
        <f t="shared" si="121"/>
        <v>0</v>
      </c>
      <c r="Q911" s="210">
        <f t="shared" si="121"/>
        <v>0</v>
      </c>
      <c r="R911" s="210">
        <f t="shared" si="121"/>
        <v>100000</v>
      </c>
      <c r="S911" s="210">
        <f t="shared" si="121"/>
        <v>0</v>
      </c>
      <c r="T911" s="210">
        <f t="shared" si="121"/>
        <v>100000</v>
      </c>
      <c r="U911" s="210">
        <f t="shared" si="121"/>
        <v>0</v>
      </c>
      <c r="V911" s="210">
        <f t="shared" si="121"/>
        <v>0</v>
      </c>
      <c r="W911" s="210">
        <f t="shared" si="121"/>
        <v>200000</v>
      </c>
      <c r="X911" s="184">
        <f t="shared" si="104"/>
        <v>0</v>
      </c>
    </row>
    <row r="912" spans="2:24" ht="94.5">
      <c r="B912" s="303"/>
      <c r="C912" s="303"/>
      <c r="D912" s="290"/>
      <c r="E912" s="42" t="s">
        <v>166</v>
      </c>
      <c r="F912" s="57"/>
      <c r="G912" s="61"/>
      <c r="H912" s="214"/>
      <c r="I912" s="247">
        <v>3220</v>
      </c>
      <c r="J912" s="9">
        <v>200000</v>
      </c>
      <c r="K912" s="49"/>
      <c r="L912" s="49"/>
      <c r="M912" s="49"/>
      <c r="N912" s="49"/>
      <c r="O912" s="49"/>
      <c r="P912" s="49"/>
      <c r="Q912" s="49"/>
      <c r="R912" s="49">
        <v>100000</v>
      </c>
      <c r="S912" s="49"/>
      <c r="T912" s="49">
        <v>100000</v>
      </c>
      <c r="U912" s="49"/>
      <c r="V912" s="49"/>
      <c r="W912" s="49">
        <v>200000</v>
      </c>
      <c r="X912" s="40">
        <f t="shared" si="104"/>
        <v>0</v>
      </c>
    </row>
    <row r="913" spans="2:24" ht="15.75">
      <c r="B913" s="302" t="s">
        <v>439</v>
      </c>
      <c r="C913" s="302" t="s">
        <v>513</v>
      </c>
      <c r="D913" s="288" t="s">
        <v>440</v>
      </c>
      <c r="E913" s="42"/>
      <c r="F913" s="57"/>
      <c r="G913" s="61"/>
      <c r="H913" s="214"/>
      <c r="I913" s="247"/>
      <c r="J913" s="210">
        <f>SUM(J914:J915)</f>
        <v>919500</v>
      </c>
      <c r="K913" s="210">
        <f aca="true" t="shared" si="122" ref="K913:W913">SUM(K914:K915)</f>
        <v>0</v>
      </c>
      <c r="L913" s="210">
        <f t="shared" si="122"/>
        <v>0</v>
      </c>
      <c r="M913" s="210">
        <f t="shared" si="122"/>
        <v>0</v>
      </c>
      <c r="N913" s="210">
        <f t="shared" si="122"/>
        <v>0</v>
      </c>
      <c r="O913" s="210">
        <f t="shared" si="122"/>
        <v>0</v>
      </c>
      <c r="P913" s="210">
        <f t="shared" si="122"/>
        <v>0</v>
      </c>
      <c r="Q913" s="210">
        <f t="shared" si="122"/>
        <v>0</v>
      </c>
      <c r="R913" s="210">
        <f t="shared" si="122"/>
        <v>0</v>
      </c>
      <c r="S913" s="210">
        <f t="shared" si="122"/>
        <v>919500</v>
      </c>
      <c r="T913" s="210">
        <f t="shared" si="122"/>
        <v>0</v>
      </c>
      <c r="U913" s="210">
        <f t="shared" si="122"/>
        <v>0</v>
      </c>
      <c r="V913" s="210">
        <f t="shared" si="122"/>
        <v>0</v>
      </c>
      <c r="W913" s="210">
        <f t="shared" si="122"/>
        <v>919500</v>
      </c>
      <c r="X913" s="184">
        <f t="shared" si="104"/>
        <v>0</v>
      </c>
    </row>
    <row r="914" spans="2:24" ht="47.25">
      <c r="B914" s="308"/>
      <c r="C914" s="308"/>
      <c r="D914" s="289"/>
      <c r="E914" s="51" t="s">
        <v>441</v>
      </c>
      <c r="F914" s="57"/>
      <c r="G914" s="61"/>
      <c r="H914" s="214"/>
      <c r="I914" s="247">
        <v>3220</v>
      </c>
      <c r="J914" s="9">
        <v>300000</v>
      </c>
      <c r="K914" s="49"/>
      <c r="L914" s="49"/>
      <c r="M914" s="49"/>
      <c r="N914" s="49"/>
      <c r="O914" s="49"/>
      <c r="P914" s="49"/>
      <c r="Q914" s="49"/>
      <c r="R914" s="49"/>
      <c r="S914" s="49">
        <v>300000</v>
      </c>
      <c r="T914" s="49"/>
      <c r="U914" s="49">
        <f>300000-300000</f>
        <v>0</v>
      </c>
      <c r="V914" s="49"/>
      <c r="W914" s="49">
        <v>300000</v>
      </c>
      <c r="X914" s="40">
        <f t="shared" si="104"/>
        <v>0</v>
      </c>
    </row>
    <row r="915" spans="2:24" ht="78.75">
      <c r="B915" s="303"/>
      <c r="C915" s="303"/>
      <c r="D915" s="290"/>
      <c r="E915" s="51" t="s">
        <v>442</v>
      </c>
      <c r="F915" s="57"/>
      <c r="G915" s="61"/>
      <c r="H915" s="214"/>
      <c r="I915" s="247">
        <v>3220</v>
      </c>
      <c r="J915" s="9">
        <v>619500</v>
      </c>
      <c r="K915" s="49"/>
      <c r="L915" s="49"/>
      <c r="M915" s="49"/>
      <c r="N915" s="49"/>
      <c r="O915" s="49"/>
      <c r="P915" s="49"/>
      <c r="Q915" s="49"/>
      <c r="R915" s="49"/>
      <c r="S915" s="49">
        <v>619500</v>
      </c>
      <c r="T915" s="49"/>
      <c r="U915" s="49"/>
      <c r="V915" s="49"/>
      <c r="W915" s="49">
        <v>619500</v>
      </c>
      <c r="X915" s="40">
        <f t="shared" si="104"/>
        <v>0</v>
      </c>
    </row>
    <row r="916" spans="2:24" ht="15.75">
      <c r="B916" s="188"/>
      <c r="C916" s="188"/>
      <c r="D916" s="190" t="s">
        <v>355</v>
      </c>
      <c r="E916" s="206"/>
      <c r="F916" s="43"/>
      <c r="G916" s="207"/>
      <c r="H916" s="244"/>
      <c r="I916" s="261"/>
      <c r="J916" s="43">
        <f aca="true" t="shared" si="123" ref="J916:W916">J17+J46+J414+J542+J560+J710+J884+J37+J906+J899</f>
        <v>241337792.10000002</v>
      </c>
      <c r="K916" s="43">
        <f t="shared" si="123"/>
        <v>0</v>
      </c>
      <c r="L916" s="43">
        <f t="shared" si="123"/>
        <v>13428009.65</v>
      </c>
      <c r="M916" s="43">
        <f t="shared" si="123"/>
        <v>1472254.6800000002</v>
      </c>
      <c r="N916" s="43">
        <f t="shared" si="123"/>
        <v>93800</v>
      </c>
      <c r="O916" s="43">
        <f t="shared" si="123"/>
        <v>17624370.47</v>
      </c>
      <c r="P916" s="43">
        <f t="shared" si="123"/>
        <v>17943941.51</v>
      </c>
      <c r="Q916" s="43">
        <f t="shared" si="123"/>
        <v>37758702.190000005</v>
      </c>
      <c r="R916" s="43">
        <f t="shared" si="123"/>
        <v>54010938.45999999</v>
      </c>
      <c r="S916" s="43">
        <f t="shared" si="123"/>
        <v>75587481.97</v>
      </c>
      <c r="T916" s="43">
        <f t="shared" si="123"/>
        <v>16604677.86</v>
      </c>
      <c r="U916" s="43">
        <f t="shared" si="123"/>
        <v>3169450.07</v>
      </c>
      <c r="V916" s="43">
        <f t="shared" si="123"/>
        <v>3644165.24</v>
      </c>
      <c r="W916" s="43">
        <f t="shared" si="123"/>
        <v>186728908.16</v>
      </c>
      <c r="X916" s="60">
        <f t="shared" si="104"/>
        <v>54608883.94000003</v>
      </c>
    </row>
    <row r="917" spans="2:24" ht="126">
      <c r="B917" s="174">
        <v>180411</v>
      </c>
      <c r="C917" s="174"/>
      <c r="D917" s="174" t="s">
        <v>883</v>
      </c>
      <c r="E917" s="174" t="s">
        <v>759</v>
      </c>
      <c r="F917" s="173"/>
      <c r="G917" s="208"/>
      <c r="H917" s="173"/>
      <c r="I917" s="262">
        <v>4112</v>
      </c>
      <c r="J917" s="176">
        <f>60118564.8-1418811-44730701</f>
        <v>13969052.799999997</v>
      </c>
      <c r="K917" s="177"/>
      <c r="L917" s="177">
        <v>20058467.86</v>
      </c>
      <c r="M917" s="177">
        <v>13203976.79</v>
      </c>
      <c r="N917" s="177">
        <v>6906813.9</v>
      </c>
      <c r="O917" s="177"/>
      <c r="P917" s="177"/>
      <c r="Q917" s="177"/>
      <c r="R917" s="177">
        <v>-1418811</v>
      </c>
      <c r="S917" s="177">
        <f>13054886.75-44730701</f>
        <v>-31675814.25</v>
      </c>
      <c r="T917" s="177">
        <v>6894419.5</v>
      </c>
      <c r="U917" s="177"/>
      <c r="V917" s="177"/>
      <c r="W917" s="177"/>
      <c r="X917" s="40">
        <f t="shared" si="104"/>
        <v>13969052.799999997</v>
      </c>
    </row>
    <row r="918" spans="2:24" ht="15.75">
      <c r="B918" s="319" t="s">
        <v>893</v>
      </c>
      <c r="C918" s="320"/>
      <c r="D918" s="321"/>
      <c r="E918" s="175"/>
      <c r="F918" s="173"/>
      <c r="G918" s="208"/>
      <c r="H918" s="173"/>
      <c r="I918" s="261"/>
      <c r="J918" s="60">
        <f>J916+J917</f>
        <v>255306844.90000004</v>
      </c>
      <c r="K918" s="60">
        <f aca="true" t="shared" si="124" ref="K918:W918">K916+K917</f>
        <v>0</v>
      </c>
      <c r="L918" s="60">
        <f t="shared" si="124"/>
        <v>33486477.509999998</v>
      </c>
      <c r="M918" s="60">
        <f t="shared" si="124"/>
        <v>14676231.469999999</v>
      </c>
      <c r="N918" s="60">
        <f t="shared" si="124"/>
        <v>7000613.9</v>
      </c>
      <c r="O918" s="60">
        <f t="shared" si="124"/>
        <v>17624370.47</v>
      </c>
      <c r="P918" s="60">
        <f t="shared" si="124"/>
        <v>17943941.51</v>
      </c>
      <c r="Q918" s="60">
        <f t="shared" si="124"/>
        <v>37758702.190000005</v>
      </c>
      <c r="R918" s="60">
        <f t="shared" si="124"/>
        <v>52592127.45999999</v>
      </c>
      <c r="S918" s="60">
        <f t="shared" si="124"/>
        <v>43911667.72</v>
      </c>
      <c r="T918" s="60">
        <f t="shared" si="124"/>
        <v>23499097.36</v>
      </c>
      <c r="U918" s="60">
        <f t="shared" si="124"/>
        <v>3169450.07</v>
      </c>
      <c r="V918" s="60">
        <f t="shared" si="124"/>
        <v>3644165.24</v>
      </c>
      <c r="W918" s="60">
        <f t="shared" si="124"/>
        <v>186728908.16</v>
      </c>
      <c r="X918" s="60">
        <f t="shared" si="104"/>
        <v>68577936.74000004</v>
      </c>
    </row>
  </sheetData>
  <sheetProtection/>
  <mergeCells count="195">
    <mergeCell ref="B415:B472"/>
    <mergeCell ref="C415:C472"/>
    <mergeCell ref="C283:C296"/>
    <mergeCell ref="B300:B303"/>
    <mergeCell ref="C344:C360"/>
    <mergeCell ref="C371:C384"/>
    <mergeCell ref="B371:B384"/>
    <mergeCell ref="B313:B317"/>
    <mergeCell ref="B385:B392"/>
    <mergeCell ref="C318:C341"/>
    <mergeCell ref="B393:B413"/>
    <mergeCell ref="C393:C413"/>
    <mergeCell ref="B9:I9"/>
    <mergeCell ref="B885:B886"/>
    <mergeCell ref="C885:C886"/>
    <mergeCell ref="D885:D886"/>
    <mergeCell ref="B318:B341"/>
    <mergeCell ref="D318:D341"/>
    <mergeCell ref="B364:B370"/>
    <mergeCell ref="C364:C370"/>
    <mergeCell ref="I613:I614"/>
    <mergeCell ref="D304:D312"/>
    <mergeCell ref="B2:I2"/>
    <mergeCell ref="B13:I13"/>
    <mergeCell ref="B12:I12"/>
    <mergeCell ref="B3:I3"/>
    <mergeCell ref="B4:I4"/>
    <mergeCell ref="B5:I5"/>
    <mergeCell ref="B6:I6"/>
    <mergeCell ref="B10:I10"/>
    <mergeCell ref="B11:I11"/>
    <mergeCell ref="B7:I7"/>
    <mergeCell ref="B47:B160"/>
    <mergeCell ref="B500:B531"/>
    <mergeCell ref="D500:D531"/>
    <mergeCell ref="B161:B282"/>
    <mergeCell ref="D385:D392"/>
    <mergeCell ref="C385:C392"/>
    <mergeCell ref="D364:D370"/>
    <mergeCell ref="C313:C317"/>
    <mergeCell ref="D313:D317"/>
    <mergeCell ref="D414:E414"/>
    <mergeCell ref="D17:E17"/>
    <mergeCell ref="B18:B32"/>
    <mergeCell ref="D18:D32"/>
    <mergeCell ref="D37:E37"/>
    <mergeCell ref="D344:D360"/>
    <mergeCell ref="C342:C343"/>
    <mergeCell ref="B297:B299"/>
    <mergeCell ref="B342:B343"/>
    <mergeCell ref="E613:E614"/>
    <mergeCell ref="C47:C160"/>
    <mergeCell ref="C304:C312"/>
    <mergeCell ref="C300:C303"/>
    <mergeCell ref="D342:D343"/>
    <mergeCell ref="C297:C299"/>
    <mergeCell ref="D283:D296"/>
    <mergeCell ref="C537:C541"/>
    <mergeCell ref="D537:D541"/>
    <mergeCell ref="E527:E528"/>
    <mergeCell ref="B304:B312"/>
    <mergeCell ref="C161:C282"/>
    <mergeCell ref="B283:B296"/>
    <mergeCell ref="B361:B363"/>
    <mergeCell ref="C361:C363"/>
    <mergeCell ref="B344:B360"/>
    <mergeCell ref="B473:B499"/>
    <mergeCell ref="C473:C499"/>
    <mergeCell ref="D473:D499"/>
    <mergeCell ref="B550:B551"/>
    <mergeCell ref="C550:C551"/>
    <mergeCell ref="D550:D551"/>
    <mergeCell ref="C500:C531"/>
    <mergeCell ref="D542:E542"/>
    <mergeCell ref="B543:B549"/>
    <mergeCell ref="C543:C549"/>
    <mergeCell ref="D543:D549"/>
    <mergeCell ref="B537:B541"/>
    <mergeCell ref="B552:B559"/>
    <mergeCell ref="C552:C559"/>
    <mergeCell ref="D552:D559"/>
    <mergeCell ref="B563:B580"/>
    <mergeCell ref="C563:C580"/>
    <mergeCell ref="D563:D580"/>
    <mergeCell ref="B561:B562"/>
    <mergeCell ref="C561:C562"/>
    <mergeCell ref="D561:D562"/>
    <mergeCell ref="B581:B583"/>
    <mergeCell ref="C581:C583"/>
    <mergeCell ref="D581:D583"/>
    <mergeCell ref="B584:B603"/>
    <mergeCell ref="C584:C603"/>
    <mergeCell ref="D584:D603"/>
    <mergeCell ref="B604:B606"/>
    <mergeCell ref="C604:C606"/>
    <mergeCell ref="D604:D606"/>
    <mergeCell ref="B607:B640"/>
    <mergeCell ref="C607:C640"/>
    <mergeCell ref="D607:D640"/>
    <mergeCell ref="B641:B692"/>
    <mergeCell ref="C641:C692"/>
    <mergeCell ref="D641:D692"/>
    <mergeCell ref="B693:B694"/>
    <mergeCell ref="C693:C694"/>
    <mergeCell ref="D693:D694"/>
    <mergeCell ref="D801:D806"/>
    <mergeCell ref="D695:D698"/>
    <mergeCell ref="B699:B701"/>
    <mergeCell ref="C699:C701"/>
    <mergeCell ref="D699:D701"/>
    <mergeCell ref="C695:C698"/>
    <mergeCell ref="B695:B698"/>
    <mergeCell ref="D710:E710"/>
    <mergeCell ref="D740:D744"/>
    <mergeCell ref="D745:D748"/>
    <mergeCell ref="D371:D384"/>
    <mergeCell ref="D738:D739"/>
    <mergeCell ref="D899:E899"/>
    <mergeCell ref="B714:B719"/>
    <mergeCell ref="C714:C719"/>
    <mergeCell ref="D714:D719"/>
    <mergeCell ref="B720:B735"/>
    <mergeCell ref="C720:C735"/>
    <mergeCell ref="D720:D735"/>
    <mergeCell ref="C801:C806"/>
    <mergeCell ref="D46:E46"/>
    <mergeCell ref="D47:D160"/>
    <mergeCell ref="D161:D282"/>
    <mergeCell ref="D300:D303"/>
    <mergeCell ref="D297:D299"/>
    <mergeCell ref="D415:D472"/>
    <mergeCell ref="D393:D413"/>
    <mergeCell ref="D361:D363"/>
    <mergeCell ref="B918:D918"/>
    <mergeCell ref="B911:B912"/>
    <mergeCell ref="C907:C910"/>
    <mergeCell ref="D907:D910"/>
    <mergeCell ref="B907:B910"/>
    <mergeCell ref="D913:D915"/>
    <mergeCell ref="D911:D912"/>
    <mergeCell ref="B913:B915"/>
    <mergeCell ref="C913:C915"/>
    <mergeCell ref="C911:C912"/>
    <mergeCell ref="B14:I14"/>
    <mergeCell ref="C18:C32"/>
    <mergeCell ref="B38:B45"/>
    <mergeCell ref="C38:C45"/>
    <mergeCell ref="D33:D36"/>
    <mergeCell ref="C33:C36"/>
    <mergeCell ref="B33:B36"/>
    <mergeCell ref="D38:D45"/>
    <mergeCell ref="C707:C709"/>
    <mergeCell ref="B887:B898"/>
    <mergeCell ref="B740:B744"/>
    <mergeCell ref="C807:C858"/>
    <mergeCell ref="C740:C744"/>
    <mergeCell ref="B745:B748"/>
    <mergeCell ref="C745:C748"/>
    <mergeCell ref="B859:B863"/>
    <mergeCell ref="C887:C898"/>
    <mergeCell ref="D887:D898"/>
    <mergeCell ref="D884:E884"/>
    <mergeCell ref="D807:D858"/>
    <mergeCell ref="C859:C863"/>
    <mergeCell ref="D859:D863"/>
    <mergeCell ref="C864:C883"/>
    <mergeCell ref="D864:D883"/>
    <mergeCell ref="D906:E906"/>
    <mergeCell ref="B900:B905"/>
    <mergeCell ref="C900:C905"/>
    <mergeCell ref="D900:D905"/>
    <mergeCell ref="D711:D713"/>
    <mergeCell ref="D749:D800"/>
    <mergeCell ref="C736:C737"/>
    <mergeCell ref="D736:D737"/>
    <mergeCell ref="C738:C739"/>
    <mergeCell ref="B864:B883"/>
    <mergeCell ref="B749:B800"/>
    <mergeCell ref="C749:C800"/>
    <mergeCell ref="C711:C713"/>
    <mergeCell ref="B736:B737"/>
    <mergeCell ref="B738:B739"/>
    <mergeCell ref="B807:B858"/>
    <mergeCell ref="B711:B713"/>
    <mergeCell ref="B801:B806"/>
    <mergeCell ref="B8:I8"/>
    <mergeCell ref="D707:D709"/>
    <mergeCell ref="D532:D536"/>
    <mergeCell ref="C532:C536"/>
    <mergeCell ref="B532:B536"/>
    <mergeCell ref="D560:E560"/>
    <mergeCell ref="B702:B706"/>
    <mergeCell ref="C702:C706"/>
    <mergeCell ref="D702:D706"/>
    <mergeCell ref="B707:B709"/>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2015-12-22T06:39:32Z</cp:lastPrinted>
  <dcterms:created xsi:type="dcterms:W3CDTF">2014-01-17T10:52:16Z</dcterms:created>
  <dcterms:modified xsi:type="dcterms:W3CDTF">2015-12-28T13:59:48Z</dcterms:modified>
  <cp:category/>
  <cp:version/>
  <cp:contentType/>
  <cp:contentStatus/>
</cp:coreProperties>
</file>